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0" documentId="8_{7E5E31E7-203B-4271-B7B8-189BEDA4BFD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USD" sheetId="1" r:id="rId1"/>
    <sheet name="EUR" sheetId="2" r:id="rId2"/>
    <sheet name="CAD" sheetId="3" r:id="rId3"/>
    <sheet name="GBP" sheetId="4" r:id="rId4"/>
    <sheet name="AUD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8" i="5" l="1"/>
  <c r="G188" i="5"/>
  <c r="F188" i="5"/>
  <c r="E188" i="5"/>
  <c r="D188" i="5"/>
  <c r="C188" i="5"/>
  <c r="B188" i="5"/>
  <c r="A188" i="5"/>
  <c r="H187" i="5"/>
  <c r="G187" i="5"/>
  <c r="F187" i="5"/>
  <c r="E187" i="5"/>
  <c r="D187" i="5"/>
  <c r="C187" i="5"/>
  <c r="B187" i="5"/>
  <c r="A187" i="5"/>
  <c r="H186" i="5"/>
  <c r="G186" i="5"/>
  <c r="F186" i="5"/>
  <c r="E186" i="5"/>
  <c r="D186" i="5"/>
  <c r="C186" i="5"/>
  <c r="B186" i="5"/>
  <c r="A186" i="5"/>
  <c r="H185" i="5"/>
  <c r="G185" i="5"/>
  <c r="F185" i="5"/>
  <c r="E185" i="5"/>
  <c r="D185" i="5"/>
  <c r="C185" i="5"/>
  <c r="B185" i="5"/>
  <c r="A185" i="5"/>
  <c r="H184" i="5"/>
  <c r="G184" i="5"/>
  <c r="F184" i="5"/>
  <c r="E184" i="5"/>
  <c r="D184" i="5"/>
  <c r="C184" i="5"/>
  <c r="B184" i="5"/>
  <c r="A184" i="5"/>
  <c r="H183" i="5"/>
  <c r="G183" i="5"/>
  <c r="F183" i="5"/>
  <c r="E183" i="5"/>
  <c r="D183" i="5"/>
  <c r="C183" i="5"/>
  <c r="B183" i="5"/>
  <c r="A183" i="5"/>
  <c r="H182" i="5"/>
  <c r="G182" i="5"/>
  <c r="F182" i="5"/>
  <c r="E182" i="5"/>
  <c r="D182" i="5"/>
  <c r="C182" i="5"/>
  <c r="B182" i="5"/>
  <c r="A182" i="5"/>
  <c r="H181" i="5"/>
  <c r="G181" i="5"/>
  <c r="F181" i="5"/>
  <c r="E181" i="5"/>
  <c r="D181" i="5"/>
  <c r="C181" i="5"/>
  <c r="B181" i="5"/>
  <c r="A181" i="5"/>
  <c r="H180" i="5"/>
  <c r="G180" i="5"/>
  <c r="F180" i="5"/>
  <c r="E180" i="5"/>
  <c r="D180" i="5"/>
  <c r="C180" i="5"/>
  <c r="B180" i="5"/>
  <c r="A180" i="5"/>
  <c r="H179" i="5"/>
  <c r="G179" i="5"/>
  <c r="F179" i="5"/>
  <c r="E179" i="5"/>
  <c r="D179" i="5"/>
  <c r="C179" i="5"/>
  <c r="B179" i="5"/>
  <c r="A179" i="5"/>
  <c r="H178" i="5"/>
  <c r="G178" i="5"/>
  <c r="F178" i="5"/>
  <c r="E178" i="5"/>
  <c r="D178" i="5"/>
  <c r="C178" i="5"/>
  <c r="B178" i="5"/>
  <c r="A178" i="5"/>
  <c r="H177" i="5"/>
  <c r="G177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H175" i="5"/>
  <c r="G175" i="5"/>
  <c r="F175" i="5"/>
  <c r="E175" i="5"/>
  <c r="D175" i="5"/>
  <c r="C175" i="5"/>
  <c r="B175" i="5"/>
  <c r="A175" i="5"/>
  <c r="H174" i="5"/>
  <c r="G174" i="5"/>
  <c r="F174" i="5"/>
  <c r="E174" i="5"/>
  <c r="D174" i="5"/>
  <c r="C174" i="5"/>
  <c r="B174" i="5"/>
  <c r="A174" i="5"/>
  <c r="H173" i="5"/>
  <c r="G173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H170" i="5"/>
  <c r="G170" i="5"/>
  <c r="F170" i="5"/>
  <c r="E170" i="5"/>
  <c r="D170" i="5"/>
  <c r="C170" i="5"/>
  <c r="B170" i="5"/>
  <c r="A170" i="5"/>
  <c r="H169" i="5"/>
  <c r="G169" i="5"/>
  <c r="F169" i="5"/>
  <c r="E169" i="5"/>
  <c r="D169" i="5"/>
  <c r="C169" i="5"/>
  <c r="B169" i="5"/>
  <c r="A169" i="5"/>
  <c r="H168" i="5"/>
  <c r="G168" i="5"/>
  <c r="F168" i="5"/>
  <c r="E168" i="5"/>
  <c r="D168" i="5"/>
  <c r="C168" i="5"/>
  <c r="B168" i="5"/>
  <c r="A168" i="5"/>
  <c r="H167" i="5"/>
  <c r="G167" i="5"/>
  <c r="F167" i="5"/>
  <c r="E167" i="5"/>
  <c r="D167" i="5"/>
  <c r="C167" i="5"/>
  <c r="B167" i="5"/>
  <c r="A167" i="5"/>
  <c r="H166" i="5"/>
  <c r="G166" i="5"/>
  <c r="F166" i="5"/>
  <c r="E166" i="5"/>
  <c r="D166" i="5"/>
  <c r="C166" i="5"/>
  <c r="B166" i="5"/>
  <c r="A166" i="5"/>
  <c r="H165" i="5"/>
  <c r="G165" i="5"/>
  <c r="F165" i="5"/>
  <c r="E165" i="5"/>
  <c r="D165" i="5"/>
  <c r="C165" i="5"/>
  <c r="B165" i="5"/>
  <c r="A165" i="5"/>
  <c r="H164" i="5"/>
  <c r="G164" i="5"/>
  <c r="F164" i="5"/>
  <c r="E164" i="5"/>
  <c r="D164" i="5"/>
  <c r="C164" i="5"/>
  <c r="B164" i="5"/>
  <c r="A164" i="5"/>
  <c r="H163" i="5"/>
  <c r="G163" i="5"/>
  <c r="F163" i="5"/>
  <c r="E163" i="5"/>
  <c r="D163" i="5"/>
  <c r="C163" i="5"/>
  <c r="B163" i="5"/>
  <c r="A163" i="5"/>
  <c r="H162" i="5"/>
  <c r="G162" i="5"/>
  <c r="F162" i="5"/>
  <c r="E162" i="5"/>
  <c r="D162" i="5"/>
  <c r="C162" i="5"/>
  <c r="B162" i="5"/>
  <c r="A162" i="5"/>
  <c r="H161" i="5"/>
  <c r="G161" i="5"/>
  <c r="F161" i="5"/>
  <c r="E161" i="5"/>
  <c r="D161" i="5"/>
  <c r="C161" i="5"/>
  <c r="B161" i="5"/>
  <c r="A161" i="5"/>
  <c r="H160" i="5"/>
  <c r="G160" i="5"/>
  <c r="F160" i="5"/>
  <c r="E160" i="5"/>
  <c r="D160" i="5"/>
  <c r="C160" i="5"/>
  <c r="B160" i="5"/>
  <c r="A160" i="5"/>
  <c r="H159" i="5"/>
  <c r="G159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H156" i="5"/>
  <c r="G156" i="5"/>
  <c r="F156" i="5"/>
  <c r="E156" i="5"/>
  <c r="D156" i="5"/>
  <c r="C156" i="5"/>
  <c r="B156" i="5"/>
  <c r="A156" i="5"/>
  <c r="H155" i="5"/>
  <c r="G155" i="5"/>
  <c r="F155" i="5"/>
  <c r="E155" i="5"/>
  <c r="D155" i="5"/>
  <c r="C155" i="5"/>
  <c r="B155" i="5"/>
  <c r="A155" i="5"/>
  <c r="H154" i="5"/>
  <c r="G154" i="5"/>
  <c r="F154" i="5"/>
  <c r="E154" i="5"/>
  <c r="D154" i="5"/>
  <c r="C154" i="5"/>
  <c r="B154" i="5"/>
  <c r="A154" i="5"/>
  <c r="H153" i="5"/>
  <c r="G153" i="5"/>
  <c r="F153" i="5"/>
  <c r="E153" i="5"/>
  <c r="D153" i="5"/>
  <c r="C153" i="5"/>
  <c r="B153" i="5"/>
  <c r="A153" i="5"/>
  <c r="H152" i="5"/>
  <c r="G152" i="5"/>
  <c r="F152" i="5"/>
  <c r="E152" i="5"/>
  <c r="D152" i="5"/>
  <c r="C152" i="5"/>
  <c r="B152" i="5"/>
  <c r="A152" i="5"/>
  <c r="H151" i="5"/>
  <c r="G151" i="5"/>
  <c r="F151" i="5"/>
  <c r="E151" i="5"/>
  <c r="D151" i="5"/>
  <c r="C151" i="5"/>
  <c r="B151" i="5"/>
  <c r="A151" i="5"/>
  <c r="H150" i="5"/>
  <c r="G150" i="5"/>
  <c r="F150" i="5"/>
  <c r="E150" i="5"/>
  <c r="D150" i="5"/>
  <c r="C150" i="5"/>
  <c r="B150" i="5"/>
  <c r="A150" i="5"/>
  <c r="H149" i="5"/>
  <c r="G149" i="5"/>
  <c r="F149" i="5"/>
  <c r="E149" i="5"/>
  <c r="D149" i="5"/>
  <c r="C149" i="5"/>
  <c r="B149" i="5"/>
  <c r="A149" i="5"/>
  <c r="H148" i="5"/>
  <c r="G148" i="5"/>
  <c r="F148" i="5"/>
  <c r="E148" i="5"/>
  <c r="D148" i="5"/>
  <c r="C148" i="5"/>
  <c r="B148" i="5"/>
  <c r="A148" i="5"/>
  <c r="H147" i="5"/>
  <c r="G147" i="5"/>
  <c r="F147" i="5"/>
  <c r="E147" i="5"/>
  <c r="D147" i="5"/>
  <c r="C147" i="5"/>
  <c r="B147" i="5"/>
  <c r="A147" i="5"/>
  <c r="H146" i="5"/>
  <c r="G146" i="5"/>
  <c r="F146" i="5"/>
  <c r="E146" i="5"/>
  <c r="D146" i="5"/>
  <c r="C146" i="5"/>
  <c r="B146" i="5"/>
  <c r="A146" i="5"/>
  <c r="H145" i="5"/>
  <c r="G145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H143" i="5"/>
  <c r="G143" i="5"/>
  <c r="F143" i="5"/>
  <c r="E143" i="5"/>
  <c r="D143" i="5"/>
  <c r="C143" i="5"/>
  <c r="B143" i="5"/>
  <c r="A143" i="5"/>
  <c r="H142" i="5"/>
  <c r="G142" i="5"/>
  <c r="F142" i="5"/>
  <c r="E142" i="5"/>
  <c r="D142" i="5"/>
  <c r="C142" i="5"/>
  <c r="B142" i="5"/>
  <c r="A142" i="5"/>
  <c r="H141" i="5"/>
  <c r="G141" i="5"/>
  <c r="F141" i="5"/>
  <c r="E141" i="5"/>
  <c r="D141" i="5"/>
  <c r="C141" i="5"/>
  <c r="B141" i="5"/>
  <c r="A141" i="5"/>
  <c r="H140" i="5"/>
  <c r="G140" i="5"/>
  <c r="F140" i="5"/>
  <c r="E140" i="5"/>
  <c r="D140" i="5"/>
  <c r="C140" i="5"/>
  <c r="B140" i="5"/>
  <c r="A140" i="5"/>
  <c r="H139" i="5"/>
  <c r="G139" i="5"/>
  <c r="F139" i="5"/>
  <c r="E139" i="5"/>
  <c r="D139" i="5"/>
  <c r="C139" i="5"/>
  <c r="B139" i="5"/>
  <c r="A139" i="5"/>
  <c r="H138" i="5"/>
  <c r="G138" i="5"/>
  <c r="F138" i="5"/>
  <c r="E138" i="5"/>
  <c r="D138" i="5"/>
  <c r="C138" i="5"/>
  <c r="B138" i="5"/>
  <c r="A138" i="5"/>
  <c r="H137" i="5"/>
  <c r="G137" i="5"/>
  <c r="F137" i="5"/>
  <c r="E137" i="5"/>
  <c r="D137" i="5"/>
  <c r="C137" i="5"/>
  <c r="B137" i="5"/>
  <c r="A137" i="5"/>
  <c r="H136" i="5"/>
  <c r="G136" i="5"/>
  <c r="F136" i="5"/>
  <c r="E136" i="5"/>
  <c r="D136" i="5"/>
  <c r="C136" i="5"/>
  <c r="B136" i="5"/>
  <c r="A136" i="5"/>
  <c r="H135" i="5"/>
  <c r="G135" i="5"/>
  <c r="F135" i="5"/>
  <c r="E135" i="5"/>
  <c r="D135" i="5"/>
  <c r="C135" i="5"/>
  <c r="B135" i="5"/>
  <c r="A135" i="5"/>
  <c r="H134" i="5"/>
  <c r="G134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H132" i="5"/>
  <c r="G132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H130" i="5"/>
  <c r="G130" i="5"/>
  <c r="F130" i="5"/>
  <c r="E130" i="5"/>
  <c r="D130" i="5"/>
  <c r="C130" i="5"/>
  <c r="B130" i="5"/>
  <c r="A130" i="5"/>
  <c r="H129" i="5"/>
  <c r="G129" i="5"/>
  <c r="F129" i="5"/>
  <c r="E129" i="5"/>
  <c r="D129" i="5"/>
  <c r="C129" i="5"/>
  <c r="B129" i="5"/>
  <c r="A129" i="5"/>
  <c r="H128" i="5"/>
  <c r="G128" i="5"/>
  <c r="F128" i="5"/>
  <c r="E128" i="5"/>
  <c r="D128" i="5"/>
  <c r="C128" i="5"/>
  <c r="B128" i="5"/>
  <c r="A128" i="5"/>
  <c r="H127" i="5"/>
  <c r="G127" i="5"/>
  <c r="F127" i="5"/>
  <c r="E127" i="5"/>
  <c r="D127" i="5"/>
  <c r="C127" i="5"/>
  <c r="B127" i="5"/>
  <c r="A127" i="5"/>
  <c r="H126" i="5"/>
  <c r="G126" i="5"/>
  <c r="F126" i="5"/>
  <c r="E126" i="5"/>
  <c r="D126" i="5"/>
  <c r="C126" i="5"/>
  <c r="B126" i="5"/>
  <c r="A126" i="5"/>
  <c r="H125" i="5"/>
  <c r="G125" i="5"/>
  <c r="F125" i="5"/>
  <c r="E125" i="5"/>
  <c r="D125" i="5"/>
  <c r="C125" i="5"/>
  <c r="B125" i="5"/>
  <c r="A125" i="5"/>
  <c r="H124" i="5"/>
  <c r="G124" i="5"/>
  <c r="F124" i="5"/>
  <c r="E124" i="5"/>
  <c r="D124" i="5"/>
  <c r="C124" i="5"/>
  <c r="B124" i="5"/>
  <c r="A124" i="5"/>
  <c r="H123" i="5"/>
  <c r="G123" i="5"/>
  <c r="F123" i="5"/>
  <c r="E123" i="5"/>
  <c r="D123" i="5"/>
  <c r="C123" i="5"/>
  <c r="B123" i="5"/>
  <c r="A123" i="5"/>
  <c r="H122" i="5"/>
  <c r="G122" i="5"/>
  <c r="F122" i="5"/>
  <c r="E122" i="5"/>
  <c r="D122" i="5"/>
  <c r="C122" i="5"/>
  <c r="B122" i="5"/>
  <c r="A122" i="5"/>
  <c r="H121" i="5"/>
  <c r="G121" i="5"/>
  <c r="F121" i="5"/>
  <c r="E121" i="5"/>
  <c r="D121" i="5"/>
  <c r="C121" i="5"/>
  <c r="B121" i="5"/>
  <c r="A121" i="5"/>
  <c r="H120" i="5"/>
  <c r="G120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H117" i="5"/>
  <c r="G117" i="5"/>
  <c r="F117" i="5"/>
  <c r="E117" i="5"/>
  <c r="D117" i="5"/>
  <c r="C117" i="5"/>
  <c r="B117" i="5"/>
  <c r="A117" i="5"/>
  <c r="H116" i="5"/>
  <c r="G116" i="5"/>
  <c r="F116" i="5"/>
  <c r="E116" i="5"/>
  <c r="D116" i="5"/>
  <c r="C116" i="5"/>
  <c r="B116" i="5"/>
  <c r="A116" i="5"/>
  <c r="H115" i="5"/>
  <c r="G115" i="5"/>
  <c r="F115" i="5"/>
  <c r="E115" i="5"/>
  <c r="D115" i="5"/>
  <c r="C115" i="5"/>
  <c r="B115" i="5"/>
  <c r="A115" i="5"/>
  <c r="H114" i="5"/>
  <c r="G114" i="5"/>
  <c r="F114" i="5"/>
  <c r="E114" i="5"/>
  <c r="D114" i="5"/>
  <c r="C114" i="5"/>
  <c r="B114" i="5"/>
  <c r="A114" i="5"/>
  <c r="H113" i="5"/>
  <c r="G113" i="5"/>
  <c r="F113" i="5"/>
  <c r="E113" i="5"/>
  <c r="D113" i="5"/>
  <c r="C113" i="5"/>
  <c r="B113" i="5"/>
  <c r="A113" i="5"/>
  <c r="H112" i="5"/>
  <c r="G112" i="5"/>
  <c r="F112" i="5"/>
  <c r="E112" i="5"/>
  <c r="D112" i="5"/>
  <c r="C112" i="5"/>
  <c r="B112" i="5"/>
  <c r="A112" i="5"/>
  <c r="H111" i="5"/>
  <c r="G111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H108" i="5"/>
  <c r="G108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H106" i="5"/>
  <c r="G106" i="5"/>
  <c r="F106" i="5"/>
  <c r="E106" i="5"/>
  <c r="D106" i="5"/>
  <c r="C106" i="5"/>
  <c r="B106" i="5"/>
  <c r="A106" i="5"/>
  <c r="H105" i="5"/>
  <c r="G105" i="5"/>
  <c r="F105" i="5"/>
  <c r="E105" i="5"/>
  <c r="D105" i="5"/>
  <c r="C105" i="5"/>
  <c r="B105" i="5"/>
  <c r="A105" i="5"/>
  <c r="H104" i="5"/>
  <c r="G104" i="5"/>
  <c r="F104" i="5"/>
  <c r="E104" i="5"/>
  <c r="D104" i="5"/>
  <c r="C104" i="5"/>
  <c r="B104" i="5"/>
  <c r="A104" i="5"/>
  <c r="H103" i="5"/>
  <c r="G103" i="5"/>
  <c r="F103" i="5"/>
  <c r="E103" i="5"/>
  <c r="D103" i="5"/>
  <c r="C103" i="5"/>
  <c r="B103" i="5"/>
  <c r="A103" i="5"/>
  <c r="H102" i="5"/>
  <c r="G102" i="5"/>
  <c r="F102" i="5"/>
  <c r="E102" i="5"/>
  <c r="D102" i="5"/>
  <c r="C102" i="5"/>
  <c r="B102" i="5"/>
  <c r="A102" i="5"/>
  <c r="H101" i="5"/>
  <c r="G101" i="5"/>
  <c r="F101" i="5"/>
  <c r="E101" i="5"/>
  <c r="D101" i="5"/>
  <c r="C101" i="5"/>
  <c r="B101" i="5"/>
  <c r="A101" i="5"/>
  <c r="H100" i="5"/>
  <c r="G100" i="5"/>
  <c r="F100" i="5"/>
  <c r="E100" i="5"/>
  <c r="D100" i="5"/>
  <c r="C100" i="5"/>
  <c r="B100" i="5"/>
  <c r="A100" i="5"/>
  <c r="H99" i="5"/>
  <c r="G99" i="5"/>
  <c r="F99" i="5"/>
  <c r="D99" i="5"/>
  <c r="C99" i="5"/>
  <c r="B99" i="5"/>
  <c r="A99" i="5"/>
  <c r="H98" i="5"/>
  <c r="G98" i="5"/>
  <c r="F98" i="5"/>
  <c r="D98" i="5"/>
  <c r="C98" i="5"/>
  <c r="B98" i="5"/>
  <c r="A98" i="5"/>
  <c r="H97" i="5"/>
  <c r="G97" i="5"/>
  <c r="F97" i="5"/>
  <c r="D97" i="5"/>
  <c r="C97" i="5"/>
  <c r="B97" i="5"/>
  <c r="A97" i="5"/>
  <c r="H96" i="5"/>
  <c r="G96" i="5"/>
  <c r="F96" i="5"/>
  <c r="D96" i="5"/>
  <c r="C96" i="5"/>
  <c r="B96" i="5"/>
  <c r="A96" i="5"/>
  <c r="H95" i="5"/>
  <c r="G95" i="5"/>
  <c r="F95" i="5"/>
  <c r="D95" i="5"/>
  <c r="C95" i="5"/>
  <c r="B95" i="5"/>
  <c r="A95" i="5"/>
  <c r="H94" i="5"/>
  <c r="G94" i="5"/>
  <c r="F94" i="5"/>
  <c r="D94" i="5"/>
  <c r="C94" i="5"/>
  <c r="B94" i="5"/>
  <c r="A94" i="5"/>
  <c r="H93" i="5"/>
  <c r="G93" i="5"/>
  <c r="F93" i="5"/>
  <c r="D93" i="5"/>
  <c r="C93" i="5"/>
  <c r="B93" i="5"/>
  <c r="A93" i="5"/>
  <c r="H92" i="5"/>
  <c r="G92" i="5"/>
  <c r="F92" i="5"/>
  <c r="D92" i="5"/>
  <c r="C92" i="5"/>
  <c r="B92" i="5"/>
  <c r="A92" i="5"/>
  <c r="H91" i="5"/>
  <c r="G91" i="5"/>
  <c r="F91" i="5"/>
  <c r="D91" i="5"/>
  <c r="C91" i="5"/>
  <c r="B91" i="5"/>
  <c r="A91" i="5"/>
  <c r="H90" i="5"/>
  <c r="G90" i="5"/>
  <c r="F90" i="5"/>
  <c r="D90" i="5"/>
  <c r="C90" i="5"/>
  <c r="B90" i="5"/>
  <c r="A90" i="5"/>
  <c r="H89" i="5"/>
  <c r="G89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H87" i="5"/>
  <c r="G87" i="5"/>
  <c r="F87" i="5"/>
  <c r="E87" i="5"/>
  <c r="D87" i="5"/>
  <c r="C87" i="5"/>
  <c r="B87" i="5"/>
  <c r="A87" i="5"/>
  <c r="H86" i="5"/>
  <c r="G86" i="5"/>
  <c r="F86" i="5"/>
  <c r="E86" i="5"/>
  <c r="D86" i="5"/>
  <c r="C86" i="5"/>
  <c r="B86" i="5"/>
  <c r="A86" i="5"/>
  <c r="H85" i="5"/>
  <c r="G85" i="5"/>
  <c r="F85" i="5"/>
  <c r="E85" i="5"/>
  <c r="D85" i="5"/>
  <c r="C85" i="5"/>
  <c r="B85" i="5"/>
  <c r="A85" i="5"/>
  <c r="H84" i="5"/>
  <c r="G84" i="5"/>
  <c r="F84" i="5"/>
  <c r="E84" i="5"/>
  <c r="D84" i="5"/>
  <c r="C84" i="5"/>
  <c r="B84" i="5"/>
  <c r="A84" i="5"/>
  <c r="H83" i="5"/>
  <c r="G83" i="5"/>
  <c r="F83" i="5"/>
  <c r="E83" i="5"/>
  <c r="D83" i="5"/>
  <c r="C83" i="5"/>
  <c r="B83" i="5"/>
  <c r="A83" i="5"/>
  <c r="H82" i="5"/>
  <c r="G82" i="5"/>
  <c r="F82" i="5"/>
  <c r="E82" i="5"/>
  <c r="D82" i="5"/>
  <c r="C82" i="5"/>
  <c r="B82" i="5"/>
  <c r="A82" i="5"/>
  <c r="H81" i="5"/>
  <c r="G81" i="5"/>
  <c r="F81" i="5"/>
  <c r="E81" i="5"/>
  <c r="D81" i="5"/>
  <c r="C81" i="5"/>
  <c r="B81" i="5"/>
  <c r="A81" i="5"/>
  <c r="H80" i="5"/>
  <c r="G80" i="5"/>
  <c r="F80" i="5"/>
  <c r="E80" i="5"/>
  <c r="D80" i="5"/>
  <c r="C80" i="5"/>
  <c r="B80" i="5"/>
  <c r="A80" i="5"/>
  <c r="H79" i="5"/>
  <c r="G79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H77" i="5"/>
  <c r="G77" i="5"/>
  <c r="F77" i="5"/>
  <c r="E77" i="5"/>
  <c r="D77" i="5"/>
  <c r="C77" i="5"/>
  <c r="B77" i="5"/>
  <c r="A77" i="5"/>
  <c r="H76" i="5"/>
  <c r="G76" i="5"/>
  <c r="F76" i="5"/>
  <c r="E76" i="5"/>
  <c r="D76" i="5"/>
  <c r="C76" i="5"/>
  <c r="B76" i="5"/>
  <c r="A76" i="5"/>
  <c r="H75" i="5"/>
  <c r="G75" i="5"/>
  <c r="F75" i="5"/>
  <c r="E75" i="5"/>
  <c r="D75" i="5"/>
  <c r="C75" i="5"/>
  <c r="B75" i="5"/>
  <c r="A75" i="5"/>
  <c r="H74" i="5"/>
  <c r="G74" i="5"/>
  <c r="F74" i="5"/>
  <c r="E74" i="5"/>
  <c r="D74" i="5"/>
  <c r="C74" i="5"/>
  <c r="B74" i="5"/>
  <c r="A74" i="5"/>
  <c r="H73" i="5"/>
  <c r="G73" i="5"/>
  <c r="F73" i="5"/>
  <c r="E73" i="5"/>
  <c r="D73" i="5"/>
  <c r="C73" i="5"/>
  <c r="B73" i="5"/>
  <c r="A73" i="5"/>
  <c r="H72" i="5"/>
  <c r="G72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H69" i="5"/>
  <c r="G69" i="5"/>
  <c r="F69" i="5"/>
  <c r="E69" i="5"/>
  <c r="D69" i="5"/>
  <c r="C69" i="5"/>
  <c r="B69" i="5"/>
  <c r="A69" i="5"/>
  <c r="H68" i="5"/>
  <c r="G68" i="5"/>
  <c r="F68" i="5"/>
  <c r="E68" i="5"/>
  <c r="D68" i="5"/>
  <c r="C68" i="5"/>
  <c r="B68" i="5"/>
  <c r="A68" i="5"/>
  <c r="H67" i="5"/>
  <c r="G67" i="5"/>
  <c r="F67" i="5"/>
  <c r="E67" i="5"/>
  <c r="D67" i="5"/>
  <c r="C67" i="5"/>
  <c r="B67" i="5"/>
  <c r="A67" i="5"/>
  <c r="H66" i="5"/>
  <c r="G66" i="5"/>
  <c r="F66" i="5"/>
  <c r="E66" i="5"/>
  <c r="D66" i="5"/>
  <c r="C66" i="5"/>
  <c r="B66" i="5"/>
  <c r="A66" i="5"/>
  <c r="H65" i="5"/>
  <c r="G65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20" i="5"/>
  <c r="G20" i="5"/>
  <c r="F20" i="5"/>
  <c r="E20" i="5"/>
  <c r="D20" i="5"/>
  <c r="C20" i="5"/>
  <c r="B20" i="5"/>
  <c r="A20" i="5"/>
  <c r="H19" i="5"/>
  <c r="G19" i="5"/>
  <c r="F19" i="5"/>
  <c r="E19" i="5"/>
  <c r="D19" i="5"/>
  <c r="C19" i="5"/>
  <c r="B19" i="5"/>
  <c r="A19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A3" i="5"/>
  <c r="H188" i="4"/>
  <c r="G188" i="4"/>
  <c r="F188" i="4"/>
  <c r="E188" i="4"/>
  <c r="D188" i="4"/>
  <c r="C188" i="4"/>
  <c r="B188" i="4"/>
  <c r="A188" i="4"/>
  <c r="H187" i="4"/>
  <c r="G187" i="4"/>
  <c r="F187" i="4"/>
  <c r="E187" i="4"/>
  <c r="D187" i="4"/>
  <c r="C187" i="4"/>
  <c r="B187" i="4"/>
  <c r="A187" i="4"/>
  <c r="H186" i="4"/>
  <c r="G186" i="4"/>
  <c r="F186" i="4"/>
  <c r="E186" i="4"/>
  <c r="D186" i="4"/>
  <c r="C186" i="4"/>
  <c r="B186" i="4"/>
  <c r="A186" i="4"/>
  <c r="H185" i="4"/>
  <c r="G185" i="4"/>
  <c r="F185" i="4"/>
  <c r="E185" i="4"/>
  <c r="D185" i="4"/>
  <c r="C185" i="4"/>
  <c r="B185" i="4"/>
  <c r="A185" i="4"/>
  <c r="H184" i="4"/>
  <c r="G184" i="4"/>
  <c r="F184" i="4"/>
  <c r="E184" i="4"/>
  <c r="D184" i="4"/>
  <c r="C184" i="4"/>
  <c r="B184" i="4"/>
  <c r="A184" i="4"/>
  <c r="H183" i="4"/>
  <c r="G183" i="4"/>
  <c r="F183" i="4"/>
  <c r="E183" i="4"/>
  <c r="D183" i="4"/>
  <c r="C183" i="4"/>
  <c r="B183" i="4"/>
  <c r="A183" i="4"/>
  <c r="H182" i="4"/>
  <c r="G182" i="4"/>
  <c r="F182" i="4"/>
  <c r="E182" i="4"/>
  <c r="D182" i="4"/>
  <c r="C182" i="4"/>
  <c r="B182" i="4"/>
  <c r="A182" i="4"/>
  <c r="H181" i="4"/>
  <c r="G181" i="4"/>
  <c r="F181" i="4"/>
  <c r="E181" i="4"/>
  <c r="D181" i="4"/>
  <c r="C181" i="4"/>
  <c r="B181" i="4"/>
  <c r="A181" i="4"/>
  <c r="H180" i="4"/>
  <c r="G180" i="4"/>
  <c r="F180" i="4"/>
  <c r="E180" i="4"/>
  <c r="D180" i="4"/>
  <c r="C180" i="4"/>
  <c r="B180" i="4"/>
  <c r="A180" i="4"/>
  <c r="H179" i="4"/>
  <c r="G179" i="4"/>
  <c r="F179" i="4"/>
  <c r="E179" i="4"/>
  <c r="D179" i="4"/>
  <c r="C179" i="4"/>
  <c r="B179" i="4"/>
  <c r="A179" i="4"/>
  <c r="H178" i="4"/>
  <c r="G178" i="4"/>
  <c r="F178" i="4"/>
  <c r="E178" i="4"/>
  <c r="D178" i="4"/>
  <c r="C178" i="4"/>
  <c r="B178" i="4"/>
  <c r="A178" i="4"/>
  <c r="H177" i="4"/>
  <c r="G177" i="4"/>
  <c r="F177" i="4"/>
  <c r="E177" i="4"/>
  <c r="D177" i="4"/>
  <c r="C177" i="4"/>
  <c r="B177" i="4"/>
  <c r="A177" i="4"/>
  <c r="H176" i="4"/>
  <c r="G176" i="4"/>
  <c r="F176" i="4"/>
  <c r="E176" i="4"/>
  <c r="D176" i="4"/>
  <c r="C176" i="4"/>
  <c r="B176" i="4"/>
  <c r="A176" i="4"/>
  <c r="H175" i="4"/>
  <c r="G175" i="4"/>
  <c r="F175" i="4"/>
  <c r="E175" i="4"/>
  <c r="D175" i="4"/>
  <c r="C175" i="4"/>
  <c r="B175" i="4"/>
  <c r="A175" i="4"/>
  <c r="H174" i="4"/>
  <c r="G174" i="4"/>
  <c r="F174" i="4"/>
  <c r="E174" i="4"/>
  <c r="D174" i="4"/>
  <c r="C174" i="4"/>
  <c r="B174" i="4"/>
  <c r="A174" i="4"/>
  <c r="H173" i="4"/>
  <c r="G173" i="4"/>
  <c r="F173" i="4"/>
  <c r="E173" i="4"/>
  <c r="D173" i="4"/>
  <c r="C173" i="4"/>
  <c r="B173" i="4"/>
  <c r="A173" i="4"/>
  <c r="H172" i="4"/>
  <c r="G172" i="4"/>
  <c r="F172" i="4"/>
  <c r="E172" i="4"/>
  <c r="D172" i="4"/>
  <c r="C172" i="4"/>
  <c r="B172" i="4"/>
  <c r="A172" i="4"/>
  <c r="H171" i="4"/>
  <c r="G171" i="4"/>
  <c r="F171" i="4"/>
  <c r="E171" i="4"/>
  <c r="D171" i="4"/>
  <c r="C171" i="4"/>
  <c r="B171" i="4"/>
  <c r="A171" i="4"/>
  <c r="H170" i="4"/>
  <c r="G170" i="4"/>
  <c r="F170" i="4"/>
  <c r="E170" i="4"/>
  <c r="D170" i="4"/>
  <c r="C170" i="4"/>
  <c r="B170" i="4"/>
  <c r="A170" i="4"/>
  <c r="H169" i="4"/>
  <c r="G169" i="4"/>
  <c r="F169" i="4"/>
  <c r="E169" i="4"/>
  <c r="D169" i="4"/>
  <c r="C169" i="4"/>
  <c r="B169" i="4"/>
  <c r="A169" i="4"/>
  <c r="H168" i="4"/>
  <c r="G168" i="4"/>
  <c r="F168" i="4"/>
  <c r="E168" i="4"/>
  <c r="D168" i="4"/>
  <c r="C168" i="4"/>
  <c r="B168" i="4"/>
  <c r="A168" i="4"/>
  <c r="H167" i="4"/>
  <c r="G167" i="4"/>
  <c r="F167" i="4"/>
  <c r="E167" i="4"/>
  <c r="D167" i="4"/>
  <c r="C167" i="4"/>
  <c r="B167" i="4"/>
  <c r="A167" i="4"/>
  <c r="H166" i="4"/>
  <c r="G166" i="4"/>
  <c r="F166" i="4"/>
  <c r="E166" i="4"/>
  <c r="D166" i="4"/>
  <c r="C166" i="4"/>
  <c r="B166" i="4"/>
  <c r="A166" i="4"/>
  <c r="H165" i="4"/>
  <c r="G165" i="4"/>
  <c r="F165" i="4"/>
  <c r="E165" i="4"/>
  <c r="D165" i="4"/>
  <c r="C165" i="4"/>
  <c r="B165" i="4"/>
  <c r="A165" i="4"/>
  <c r="H164" i="4"/>
  <c r="G164" i="4"/>
  <c r="F164" i="4"/>
  <c r="E164" i="4"/>
  <c r="D164" i="4"/>
  <c r="C164" i="4"/>
  <c r="B164" i="4"/>
  <c r="A164" i="4"/>
  <c r="H163" i="4"/>
  <c r="G163" i="4"/>
  <c r="F163" i="4"/>
  <c r="E163" i="4"/>
  <c r="D163" i="4"/>
  <c r="C163" i="4"/>
  <c r="B163" i="4"/>
  <c r="A163" i="4"/>
  <c r="H162" i="4"/>
  <c r="G162" i="4"/>
  <c r="F162" i="4"/>
  <c r="E162" i="4"/>
  <c r="D162" i="4"/>
  <c r="C162" i="4"/>
  <c r="B162" i="4"/>
  <c r="A162" i="4"/>
  <c r="H161" i="4"/>
  <c r="G161" i="4"/>
  <c r="F161" i="4"/>
  <c r="E161" i="4"/>
  <c r="D161" i="4"/>
  <c r="C161" i="4"/>
  <c r="B161" i="4"/>
  <c r="A161" i="4"/>
  <c r="H160" i="4"/>
  <c r="G160" i="4"/>
  <c r="F160" i="4"/>
  <c r="E160" i="4"/>
  <c r="D160" i="4"/>
  <c r="C160" i="4"/>
  <c r="B160" i="4"/>
  <c r="A160" i="4"/>
  <c r="H159" i="4"/>
  <c r="G159" i="4"/>
  <c r="F159" i="4"/>
  <c r="E159" i="4"/>
  <c r="D159" i="4"/>
  <c r="C159" i="4"/>
  <c r="B159" i="4"/>
  <c r="A159" i="4"/>
  <c r="H158" i="4"/>
  <c r="G158" i="4"/>
  <c r="F158" i="4"/>
  <c r="E158" i="4"/>
  <c r="D158" i="4"/>
  <c r="C158" i="4"/>
  <c r="B158" i="4"/>
  <c r="A158" i="4"/>
  <c r="H157" i="4"/>
  <c r="G157" i="4"/>
  <c r="F157" i="4"/>
  <c r="E157" i="4"/>
  <c r="D157" i="4"/>
  <c r="C157" i="4"/>
  <c r="B157" i="4"/>
  <c r="A157" i="4"/>
  <c r="H156" i="4"/>
  <c r="G156" i="4"/>
  <c r="F156" i="4"/>
  <c r="E156" i="4"/>
  <c r="D156" i="4"/>
  <c r="C156" i="4"/>
  <c r="B156" i="4"/>
  <c r="A156" i="4"/>
  <c r="H155" i="4"/>
  <c r="G155" i="4"/>
  <c r="F155" i="4"/>
  <c r="E155" i="4"/>
  <c r="D155" i="4"/>
  <c r="C155" i="4"/>
  <c r="B155" i="4"/>
  <c r="A155" i="4"/>
  <c r="H154" i="4"/>
  <c r="G154" i="4"/>
  <c r="F154" i="4"/>
  <c r="E154" i="4"/>
  <c r="D154" i="4"/>
  <c r="C154" i="4"/>
  <c r="B154" i="4"/>
  <c r="A154" i="4"/>
  <c r="H153" i="4"/>
  <c r="G153" i="4"/>
  <c r="F153" i="4"/>
  <c r="E153" i="4"/>
  <c r="D153" i="4"/>
  <c r="C153" i="4"/>
  <c r="B153" i="4"/>
  <c r="A153" i="4"/>
  <c r="H152" i="4"/>
  <c r="G152" i="4"/>
  <c r="F152" i="4"/>
  <c r="E152" i="4"/>
  <c r="D152" i="4"/>
  <c r="C152" i="4"/>
  <c r="B152" i="4"/>
  <c r="A152" i="4"/>
  <c r="H151" i="4"/>
  <c r="G151" i="4"/>
  <c r="F151" i="4"/>
  <c r="E151" i="4"/>
  <c r="D151" i="4"/>
  <c r="C151" i="4"/>
  <c r="B151" i="4"/>
  <c r="A151" i="4"/>
  <c r="H150" i="4"/>
  <c r="G150" i="4"/>
  <c r="F150" i="4"/>
  <c r="E150" i="4"/>
  <c r="D150" i="4"/>
  <c r="C150" i="4"/>
  <c r="B150" i="4"/>
  <c r="A150" i="4"/>
  <c r="H149" i="4"/>
  <c r="G149" i="4"/>
  <c r="F149" i="4"/>
  <c r="E149" i="4"/>
  <c r="D149" i="4"/>
  <c r="C149" i="4"/>
  <c r="B149" i="4"/>
  <c r="A149" i="4"/>
  <c r="H148" i="4"/>
  <c r="G148" i="4"/>
  <c r="F148" i="4"/>
  <c r="E148" i="4"/>
  <c r="D148" i="4"/>
  <c r="C148" i="4"/>
  <c r="B148" i="4"/>
  <c r="A148" i="4"/>
  <c r="H147" i="4"/>
  <c r="G147" i="4"/>
  <c r="F147" i="4"/>
  <c r="E147" i="4"/>
  <c r="D147" i="4"/>
  <c r="C147" i="4"/>
  <c r="B147" i="4"/>
  <c r="A147" i="4"/>
  <c r="H146" i="4"/>
  <c r="G146" i="4"/>
  <c r="F146" i="4"/>
  <c r="E146" i="4"/>
  <c r="D146" i="4"/>
  <c r="C146" i="4"/>
  <c r="B146" i="4"/>
  <c r="A146" i="4"/>
  <c r="H145" i="4"/>
  <c r="G145" i="4"/>
  <c r="F145" i="4"/>
  <c r="E145" i="4"/>
  <c r="D145" i="4"/>
  <c r="C145" i="4"/>
  <c r="B145" i="4"/>
  <c r="A145" i="4"/>
  <c r="H144" i="4"/>
  <c r="G144" i="4"/>
  <c r="F144" i="4"/>
  <c r="E144" i="4"/>
  <c r="D144" i="4"/>
  <c r="C144" i="4"/>
  <c r="B144" i="4"/>
  <c r="A144" i="4"/>
  <c r="H143" i="4"/>
  <c r="G143" i="4"/>
  <c r="F143" i="4"/>
  <c r="E143" i="4"/>
  <c r="D143" i="4"/>
  <c r="C143" i="4"/>
  <c r="B143" i="4"/>
  <c r="A143" i="4"/>
  <c r="H142" i="4"/>
  <c r="G142" i="4"/>
  <c r="F142" i="4"/>
  <c r="E142" i="4"/>
  <c r="D142" i="4"/>
  <c r="C142" i="4"/>
  <c r="B142" i="4"/>
  <c r="A142" i="4"/>
  <c r="H141" i="4"/>
  <c r="G141" i="4"/>
  <c r="F141" i="4"/>
  <c r="E141" i="4"/>
  <c r="D141" i="4"/>
  <c r="C141" i="4"/>
  <c r="B141" i="4"/>
  <c r="A141" i="4"/>
  <c r="H140" i="4"/>
  <c r="G140" i="4"/>
  <c r="F140" i="4"/>
  <c r="E140" i="4"/>
  <c r="D140" i="4"/>
  <c r="C140" i="4"/>
  <c r="B140" i="4"/>
  <c r="A140" i="4"/>
  <c r="H139" i="4"/>
  <c r="G139" i="4"/>
  <c r="F139" i="4"/>
  <c r="E139" i="4"/>
  <c r="D139" i="4"/>
  <c r="C139" i="4"/>
  <c r="B139" i="4"/>
  <c r="A139" i="4"/>
  <c r="H138" i="4"/>
  <c r="G138" i="4"/>
  <c r="F138" i="4"/>
  <c r="E138" i="4"/>
  <c r="D138" i="4"/>
  <c r="C138" i="4"/>
  <c r="B138" i="4"/>
  <c r="A138" i="4"/>
  <c r="H137" i="4"/>
  <c r="G137" i="4"/>
  <c r="F137" i="4"/>
  <c r="E137" i="4"/>
  <c r="D137" i="4"/>
  <c r="C137" i="4"/>
  <c r="B137" i="4"/>
  <c r="A137" i="4"/>
  <c r="H136" i="4"/>
  <c r="G136" i="4"/>
  <c r="F136" i="4"/>
  <c r="E136" i="4"/>
  <c r="D136" i="4"/>
  <c r="C136" i="4"/>
  <c r="B136" i="4"/>
  <c r="A136" i="4"/>
  <c r="H135" i="4"/>
  <c r="G135" i="4"/>
  <c r="F135" i="4"/>
  <c r="E135" i="4"/>
  <c r="D135" i="4"/>
  <c r="C135" i="4"/>
  <c r="B135" i="4"/>
  <c r="A135" i="4"/>
  <c r="H134" i="4"/>
  <c r="G134" i="4"/>
  <c r="F134" i="4"/>
  <c r="E134" i="4"/>
  <c r="D134" i="4"/>
  <c r="C134" i="4"/>
  <c r="B134" i="4"/>
  <c r="A134" i="4"/>
  <c r="H133" i="4"/>
  <c r="G133" i="4"/>
  <c r="F133" i="4"/>
  <c r="E133" i="4"/>
  <c r="D133" i="4"/>
  <c r="C133" i="4"/>
  <c r="B133" i="4"/>
  <c r="A133" i="4"/>
  <c r="H132" i="4"/>
  <c r="G132" i="4"/>
  <c r="F132" i="4"/>
  <c r="E132" i="4"/>
  <c r="D132" i="4"/>
  <c r="C132" i="4"/>
  <c r="B132" i="4"/>
  <c r="A132" i="4"/>
  <c r="H131" i="4"/>
  <c r="G131" i="4"/>
  <c r="F131" i="4"/>
  <c r="E131" i="4"/>
  <c r="D131" i="4"/>
  <c r="C131" i="4"/>
  <c r="B131" i="4"/>
  <c r="A131" i="4"/>
  <c r="H130" i="4"/>
  <c r="G130" i="4"/>
  <c r="F130" i="4"/>
  <c r="E130" i="4"/>
  <c r="D130" i="4"/>
  <c r="C130" i="4"/>
  <c r="B130" i="4"/>
  <c r="A130" i="4"/>
  <c r="H129" i="4"/>
  <c r="G129" i="4"/>
  <c r="F129" i="4"/>
  <c r="E129" i="4"/>
  <c r="D129" i="4"/>
  <c r="C129" i="4"/>
  <c r="B129" i="4"/>
  <c r="A129" i="4"/>
  <c r="H128" i="4"/>
  <c r="G128" i="4"/>
  <c r="F128" i="4"/>
  <c r="E128" i="4"/>
  <c r="D128" i="4"/>
  <c r="C128" i="4"/>
  <c r="B128" i="4"/>
  <c r="A128" i="4"/>
  <c r="H127" i="4"/>
  <c r="G127" i="4"/>
  <c r="F127" i="4"/>
  <c r="E127" i="4"/>
  <c r="D127" i="4"/>
  <c r="C127" i="4"/>
  <c r="B127" i="4"/>
  <c r="A127" i="4"/>
  <c r="H126" i="4"/>
  <c r="G126" i="4"/>
  <c r="F126" i="4"/>
  <c r="E126" i="4"/>
  <c r="D126" i="4"/>
  <c r="C126" i="4"/>
  <c r="B126" i="4"/>
  <c r="A126" i="4"/>
  <c r="H125" i="4"/>
  <c r="G125" i="4"/>
  <c r="F125" i="4"/>
  <c r="E125" i="4"/>
  <c r="D125" i="4"/>
  <c r="C125" i="4"/>
  <c r="B125" i="4"/>
  <c r="A125" i="4"/>
  <c r="H124" i="4"/>
  <c r="G124" i="4"/>
  <c r="F124" i="4"/>
  <c r="E124" i="4"/>
  <c r="D124" i="4"/>
  <c r="C124" i="4"/>
  <c r="B124" i="4"/>
  <c r="A124" i="4"/>
  <c r="H123" i="4"/>
  <c r="G123" i="4"/>
  <c r="F123" i="4"/>
  <c r="E123" i="4"/>
  <c r="D123" i="4"/>
  <c r="C123" i="4"/>
  <c r="B123" i="4"/>
  <c r="A123" i="4"/>
  <c r="H122" i="4"/>
  <c r="G122" i="4"/>
  <c r="F122" i="4"/>
  <c r="E122" i="4"/>
  <c r="D122" i="4"/>
  <c r="C122" i="4"/>
  <c r="B122" i="4"/>
  <c r="A122" i="4"/>
  <c r="H121" i="4"/>
  <c r="G121" i="4"/>
  <c r="F121" i="4"/>
  <c r="E121" i="4"/>
  <c r="D121" i="4"/>
  <c r="C121" i="4"/>
  <c r="B121" i="4"/>
  <c r="A121" i="4"/>
  <c r="H120" i="4"/>
  <c r="G120" i="4"/>
  <c r="F120" i="4"/>
  <c r="E120" i="4"/>
  <c r="D120" i="4"/>
  <c r="C120" i="4"/>
  <c r="B120" i="4"/>
  <c r="A120" i="4"/>
  <c r="H119" i="4"/>
  <c r="G119" i="4"/>
  <c r="F119" i="4"/>
  <c r="E119" i="4"/>
  <c r="D119" i="4"/>
  <c r="C119" i="4"/>
  <c r="B119" i="4"/>
  <c r="A119" i="4"/>
  <c r="H118" i="4"/>
  <c r="G118" i="4"/>
  <c r="F118" i="4"/>
  <c r="E118" i="4"/>
  <c r="D118" i="4"/>
  <c r="C118" i="4"/>
  <c r="B118" i="4"/>
  <c r="A118" i="4"/>
  <c r="H117" i="4"/>
  <c r="G117" i="4"/>
  <c r="F117" i="4"/>
  <c r="E117" i="4"/>
  <c r="D117" i="4"/>
  <c r="C117" i="4"/>
  <c r="B117" i="4"/>
  <c r="A117" i="4"/>
  <c r="H116" i="4"/>
  <c r="G116" i="4"/>
  <c r="F116" i="4"/>
  <c r="E116" i="4"/>
  <c r="D116" i="4"/>
  <c r="C116" i="4"/>
  <c r="B116" i="4"/>
  <c r="A116" i="4"/>
  <c r="H115" i="4"/>
  <c r="G115" i="4"/>
  <c r="F115" i="4"/>
  <c r="E115" i="4"/>
  <c r="D115" i="4"/>
  <c r="C115" i="4"/>
  <c r="B115" i="4"/>
  <c r="A115" i="4"/>
  <c r="H114" i="4"/>
  <c r="G114" i="4"/>
  <c r="F114" i="4"/>
  <c r="E114" i="4"/>
  <c r="D114" i="4"/>
  <c r="C114" i="4"/>
  <c r="B114" i="4"/>
  <c r="A114" i="4"/>
  <c r="H113" i="4"/>
  <c r="G113" i="4"/>
  <c r="F113" i="4"/>
  <c r="E113" i="4"/>
  <c r="D113" i="4"/>
  <c r="C113" i="4"/>
  <c r="B113" i="4"/>
  <c r="A113" i="4"/>
  <c r="H112" i="4"/>
  <c r="G112" i="4"/>
  <c r="F112" i="4"/>
  <c r="E112" i="4"/>
  <c r="D112" i="4"/>
  <c r="C112" i="4"/>
  <c r="B112" i="4"/>
  <c r="A112" i="4"/>
  <c r="H111" i="4"/>
  <c r="G111" i="4"/>
  <c r="F111" i="4"/>
  <c r="E111" i="4"/>
  <c r="D111" i="4"/>
  <c r="C111" i="4"/>
  <c r="B111" i="4"/>
  <c r="A111" i="4"/>
  <c r="H110" i="4"/>
  <c r="G110" i="4"/>
  <c r="F110" i="4"/>
  <c r="E110" i="4"/>
  <c r="D110" i="4"/>
  <c r="C110" i="4"/>
  <c r="B110" i="4"/>
  <c r="A110" i="4"/>
  <c r="H109" i="4"/>
  <c r="G109" i="4"/>
  <c r="F109" i="4"/>
  <c r="E109" i="4"/>
  <c r="D109" i="4"/>
  <c r="C109" i="4"/>
  <c r="B109" i="4"/>
  <c r="A109" i="4"/>
  <c r="H108" i="4"/>
  <c r="G108" i="4"/>
  <c r="F108" i="4"/>
  <c r="E108" i="4"/>
  <c r="D108" i="4"/>
  <c r="C108" i="4"/>
  <c r="B108" i="4"/>
  <c r="A108" i="4"/>
  <c r="H107" i="4"/>
  <c r="G107" i="4"/>
  <c r="F107" i="4"/>
  <c r="E107" i="4"/>
  <c r="D107" i="4"/>
  <c r="C107" i="4"/>
  <c r="B107" i="4"/>
  <c r="A107" i="4"/>
  <c r="H106" i="4"/>
  <c r="G106" i="4"/>
  <c r="F106" i="4"/>
  <c r="E106" i="4"/>
  <c r="D106" i="4"/>
  <c r="C106" i="4"/>
  <c r="B106" i="4"/>
  <c r="A106" i="4"/>
  <c r="H105" i="4"/>
  <c r="G105" i="4"/>
  <c r="F105" i="4"/>
  <c r="E105" i="4"/>
  <c r="D105" i="4"/>
  <c r="C105" i="4"/>
  <c r="B105" i="4"/>
  <c r="A105" i="4"/>
  <c r="H104" i="4"/>
  <c r="G104" i="4"/>
  <c r="F104" i="4"/>
  <c r="E104" i="4"/>
  <c r="D104" i="4"/>
  <c r="C104" i="4"/>
  <c r="B104" i="4"/>
  <c r="A104" i="4"/>
  <c r="H103" i="4"/>
  <c r="G103" i="4"/>
  <c r="F103" i="4"/>
  <c r="E103" i="4"/>
  <c r="D103" i="4"/>
  <c r="C103" i="4"/>
  <c r="B103" i="4"/>
  <c r="A103" i="4"/>
  <c r="H102" i="4"/>
  <c r="G102" i="4"/>
  <c r="F102" i="4"/>
  <c r="E102" i="4"/>
  <c r="D102" i="4"/>
  <c r="C102" i="4"/>
  <c r="B102" i="4"/>
  <c r="A102" i="4"/>
  <c r="H101" i="4"/>
  <c r="G101" i="4"/>
  <c r="F101" i="4"/>
  <c r="E101" i="4"/>
  <c r="D101" i="4"/>
  <c r="C101" i="4"/>
  <c r="B101" i="4"/>
  <c r="A101" i="4"/>
  <c r="H100" i="4"/>
  <c r="G100" i="4"/>
  <c r="F100" i="4"/>
  <c r="E100" i="4"/>
  <c r="D100" i="4"/>
  <c r="C100" i="4"/>
  <c r="B100" i="4"/>
  <c r="A100" i="4"/>
  <c r="H99" i="4"/>
  <c r="G99" i="4"/>
  <c r="F99" i="4"/>
  <c r="D99" i="4"/>
  <c r="C99" i="4"/>
  <c r="B99" i="4"/>
  <c r="A99" i="4"/>
  <c r="H98" i="4"/>
  <c r="G98" i="4"/>
  <c r="F98" i="4"/>
  <c r="D98" i="4"/>
  <c r="C98" i="4"/>
  <c r="B98" i="4"/>
  <c r="A98" i="4"/>
  <c r="H97" i="4"/>
  <c r="G97" i="4"/>
  <c r="F97" i="4"/>
  <c r="D97" i="4"/>
  <c r="C97" i="4"/>
  <c r="B97" i="4"/>
  <c r="A97" i="4"/>
  <c r="H96" i="4"/>
  <c r="G96" i="4"/>
  <c r="F96" i="4"/>
  <c r="D96" i="4"/>
  <c r="C96" i="4"/>
  <c r="B96" i="4"/>
  <c r="A96" i="4"/>
  <c r="H95" i="4"/>
  <c r="G95" i="4"/>
  <c r="F95" i="4"/>
  <c r="D95" i="4"/>
  <c r="C95" i="4"/>
  <c r="B95" i="4"/>
  <c r="A95" i="4"/>
  <c r="H94" i="4"/>
  <c r="G94" i="4"/>
  <c r="F94" i="4"/>
  <c r="D94" i="4"/>
  <c r="C94" i="4"/>
  <c r="B94" i="4"/>
  <c r="A94" i="4"/>
  <c r="H93" i="4"/>
  <c r="G93" i="4"/>
  <c r="F93" i="4"/>
  <c r="D93" i="4"/>
  <c r="C93" i="4"/>
  <c r="B93" i="4"/>
  <c r="A93" i="4"/>
  <c r="H92" i="4"/>
  <c r="G92" i="4"/>
  <c r="F92" i="4"/>
  <c r="D92" i="4"/>
  <c r="C92" i="4"/>
  <c r="B92" i="4"/>
  <c r="A92" i="4"/>
  <c r="H91" i="4"/>
  <c r="G91" i="4"/>
  <c r="F91" i="4"/>
  <c r="D91" i="4"/>
  <c r="C91" i="4"/>
  <c r="B91" i="4"/>
  <c r="A91" i="4"/>
  <c r="H90" i="4"/>
  <c r="G90" i="4"/>
  <c r="F90" i="4"/>
  <c r="D90" i="4"/>
  <c r="C90" i="4"/>
  <c r="B90" i="4"/>
  <c r="A90" i="4"/>
  <c r="H89" i="4"/>
  <c r="G89" i="4"/>
  <c r="F89" i="4"/>
  <c r="E89" i="4"/>
  <c r="D89" i="4"/>
  <c r="C89" i="4"/>
  <c r="B89" i="4"/>
  <c r="A89" i="4"/>
  <c r="H88" i="4"/>
  <c r="G88" i="4"/>
  <c r="F88" i="4"/>
  <c r="E88" i="4"/>
  <c r="D88" i="4"/>
  <c r="C88" i="4"/>
  <c r="B88" i="4"/>
  <c r="A88" i="4"/>
  <c r="H87" i="4"/>
  <c r="G87" i="4"/>
  <c r="F87" i="4"/>
  <c r="E87" i="4"/>
  <c r="D87" i="4"/>
  <c r="C87" i="4"/>
  <c r="B87" i="4"/>
  <c r="A87" i="4"/>
  <c r="H86" i="4"/>
  <c r="G86" i="4"/>
  <c r="F86" i="4"/>
  <c r="E86" i="4"/>
  <c r="D86" i="4"/>
  <c r="C86" i="4"/>
  <c r="B86" i="4"/>
  <c r="A86" i="4"/>
  <c r="H85" i="4"/>
  <c r="G85" i="4"/>
  <c r="F85" i="4"/>
  <c r="E85" i="4"/>
  <c r="D85" i="4"/>
  <c r="C85" i="4"/>
  <c r="B85" i="4"/>
  <c r="A85" i="4"/>
  <c r="H84" i="4"/>
  <c r="G84" i="4"/>
  <c r="F84" i="4"/>
  <c r="E84" i="4"/>
  <c r="D84" i="4"/>
  <c r="C84" i="4"/>
  <c r="B84" i="4"/>
  <c r="A84" i="4"/>
  <c r="H83" i="4"/>
  <c r="G83" i="4"/>
  <c r="F83" i="4"/>
  <c r="E83" i="4"/>
  <c r="D83" i="4"/>
  <c r="C83" i="4"/>
  <c r="B83" i="4"/>
  <c r="A83" i="4"/>
  <c r="H82" i="4"/>
  <c r="G82" i="4"/>
  <c r="F82" i="4"/>
  <c r="E82" i="4"/>
  <c r="D82" i="4"/>
  <c r="C82" i="4"/>
  <c r="B82" i="4"/>
  <c r="A82" i="4"/>
  <c r="H81" i="4"/>
  <c r="G81" i="4"/>
  <c r="F81" i="4"/>
  <c r="E81" i="4"/>
  <c r="D81" i="4"/>
  <c r="C81" i="4"/>
  <c r="B81" i="4"/>
  <c r="A81" i="4"/>
  <c r="H80" i="4"/>
  <c r="G80" i="4"/>
  <c r="F80" i="4"/>
  <c r="E80" i="4"/>
  <c r="D80" i="4"/>
  <c r="C80" i="4"/>
  <c r="B80" i="4"/>
  <c r="A80" i="4"/>
  <c r="H79" i="4"/>
  <c r="G79" i="4"/>
  <c r="F79" i="4"/>
  <c r="E79" i="4"/>
  <c r="D79" i="4"/>
  <c r="C79" i="4"/>
  <c r="B79" i="4"/>
  <c r="A79" i="4"/>
  <c r="H78" i="4"/>
  <c r="G78" i="4"/>
  <c r="F78" i="4"/>
  <c r="E78" i="4"/>
  <c r="D78" i="4"/>
  <c r="C78" i="4"/>
  <c r="B78" i="4"/>
  <c r="A78" i="4"/>
  <c r="H77" i="4"/>
  <c r="G77" i="4"/>
  <c r="F77" i="4"/>
  <c r="E77" i="4"/>
  <c r="D77" i="4"/>
  <c r="C77" i="4"/>
  <c r="B77" i="4"/>
  <c r="A77" i="4"/>
  <c r="H76" i="4"/>
  <c r="G76" i="4"/>
  <c r="F76" i="4"/>
  <c r="E76" i="4"/>
  <c r="D76" i="4"/>
  <c r="C76" i="4"/>
  <c r="B76" i="4"/>
  <c r="A76" i="4"/>
  <c r="H75" i="4"/>
  <c r="G75" i="4"/>
  <c r="F75" i="4"/>
  <c r="E75" i="4"/>
  <c r="D75" i="4"/>
  <c r="C75" i="4"/>
  <c r="B75" i="4"/>
  <c r="A75" i="4"/>
  <c r="H74" i="4"/>
  <c r="G74" i="4"/>
  <c r="F74" i="4"/>
  <c r="E74" i="4"/>
  <c r="D74" i="4"/>
  <c r="C74" i="4"/>
  <c r="B74" i="4"/>
  <c r="A74" i="4"/>
  <c r="H73" i="4"/>
  <c r="G73" i="4"/>
  <c r="F73" i="4"/>
  <c r="E73" i="4"/>
  <c r="D73" i="4"/>
  <c r="C73" i="4"/>
  <c r="B73" i="4"/>
  <c r="A73" i="4"/>
  <c r="H72" i="4"/>
  <c r="G72" i="4"/>
  <c r="F72" i="4"/>
  <c r="E72" i="4"/>
  <c r="D72" i="4"/>
  <c r="C72" i="4"/>
  <c r="B72" i="4"/>
  <c r="A72" i="4"/>
  <c r="H71" i="4"/>
  <c r="G71" i="4"/>
  <c r="F71" i="4"/>
  <c r="E71" i="4"/>
  <c r="D71" i="4"/>
  <c r="C71" i="4"/>
  <c r="B71" i="4"/>
  <c r="A71" i="4"/>
  <c r="H70" i="4"/>
  <c r="G70" i="4"/>
  <c r="F70" i="4"/>
  <c r="E70" i="4"/>
  <c r="D70" i="4"/>
  <c r="C70" i="4"/>
  <c r="B70" i="4"/>
  <c r="A70" i="4"/>
  <c r="H69" i="4"/>
  <c r="G69" i="4"/>
  <c r="F69" i="4"/>
  <c r="E69" i="4"/>
  <c r="D69" i="4"/>
  <c r="C69" i="4"/>
  <c r="B69" i="4"/>
  <c r="A69" i="4"/>
  <c r="H68" i="4"/>
  <c r="G68" i="4"/>
  <c r="F68" i="4"/>
  <c r="E68" i="4"/>
  <c r="D68" i="4"/>
  <c r="C68" i="4"/>
  <c r="B68" i="4"/>
  <c r="A68" i="4"/>
  <c r="H67" i="4"/>
  <c r="G67" i="4"/>
  <c r="F67" i="4"/>
  <c r="E67" i="4"/>
  <c r="D67" i="4"/>
  <c r="C67" i="4"/>
  <c r="B67" i="4"/>
  <c r="A67" i="4"/>
  <c r="H66" i="4"/>
  <c r="G66" i="4"/>
  <c r="F66" i="4"/>
  <c r="E66" i="4"/>
  <c r="D66" i="4"/>
  <c r="C66" i="4"/>
  <c r="B66" i="4"/>
  <c r="A66" i="4"/>
  <c r="H65" i="4"/>
  <c r="G65" i="4"/>
  <c r="F65" i="4"/>
  <c r="E65" i="4"/>
  <c r="D65" i="4"/>
  <c r="C65" i="4"/>
  <c r="B65" i="4"/>
  <c r="A65" i="4"/>
  <c r="H64" i="4"/>
  <c r="G64" i="4"/>
  <c r="F64" i="4"/>
  <c r="E64" i="4"/>
  <c r="D64" i="4"/>
  <c r="C64" i="4"/>
  <c r="B64" i="4"/>
  <c r="A64" i="4"/>
  <c r="H63" i="4"/>
  <c r="G63" i="4"/>
  <c r="F63" i="4"/>
  <c r="E63" i="4"/>
  <c r="D63" i="4"/>
  <c r="C63" i="4"/>
  <c r="B63" i="4"/>
  <c r="A63" i="4"/>
  <c r="H62" i="4"/>
  <c r="G62" i="4"/>
  <c r="F62" i="4"/>
  <c r="E62" i="4"/>
  <c r="D62" i="4"/>
  <c r="C62" i="4"/>
  <c r="B62" i="4"/>
  <c r="A62" i="4"/>
  <c r="H61" i="4"/>
  <c r="G61" i="4"/>
  <c r="F61" i="4"/>
  <c r="E61" i="4"/>
  <c r="D61" i="4"/>
  <c r="C61" i="4"/>
  <c r="B61" i="4"/>
  <c r="A61" i="4"/>
  <c r="H60" i="4"/>
  <c r="G60" i="4"/>
  <c r="F60" i="4"/>
  <c r="E60" i="4"/>
  <c r="D60" i="4"/>
  <c r="C60" i="4"/>
  <c r="B60" i="4"/>
  <c r="A60" i="4"/>
  <c r="H59" i="4"/>
  <c r="G59" i="4"/>
  <c r="F59" i="4"/>
  <c r="E59" i="4"/>
  <c r="D59" i="4"/>
  <c r="C59" i="4"/>
  <c r="B59" i="4"/>
  <c r="A59" i="4"/>
  <c r="H58" i="4"/>
  <c r="G58" i="4"/>
  <c r="F58" i="4"/>
  <c r="E58" i="4"/>
  <c r="D58" i="4"/>
  <c r="C58" i="4"/>
  <c r="B58" i="4"/>
  <c r="A58" i="4"/>
  <c r="H57" i="4"/>
  <c r="G57" i="4"/>
  <c r="F57" i="4"/>
  <c r="E57" i="4"/>
  <c r="D57" i="4"/>
  <c r="C57" i="4"/>
  <c r="B57" i="4"/>
  <c r="A57" i="4"/>
  <c r="H56" i="4"/>
  <c r="G56" i="4"/>
  <c r="F56" i="4"/>
  <c r="E56" i="4"/>
  <c r="D56" i="4"/>
  <c r="C56" i="4"/>
  <c r="B56" i="4"/>
  <c r="A56" i="4"/>
  <c r="H55" i="4"/>
  <c r="G55" i="4"/>
  <c r="F55" i="4"/>
  <c r="E55" i="4"/>
  <c r="D55" i="4"/>
  <c r="C55" i="4"/>
  <c r="B55" i="4"/>
  <c r="A55" i="4"/>
  <c r="H54" i="4"/>
  <c r="G54" i="4"/>
  <c r="F54" i="4"/>
  <c r="E54" i="4"/>
  <c r="D54" i="4"/>
  <c r="C54" i="4"/>
  <c r="B54" i="4"/>
  <c r="A54" i="4"/>
  <c r="H53" i="4"/>
  <c r="G53" i="4"/>
  <c r="F53" i="4"/>
  <c r="E53" i="4"/>
  <c r="D53" i="4"/>
  <c r="C53" i="4"/>
  <c r="B53" i="4"/>
  <c r="A53" i="4"/>
  <c r="H52" i="4"/>
  <c r="G52" i="4"/>
  <c r="F52" i="4"/>
  <c r="E52" i="4"/>
  <c r="D52" i="4"/>
  <c r="C52" i="4"/>
  <c r="B52" i="4"/>
  <c r="A52" i="4"/>
  <c r="H51" i="4"/>
  <c r="G51" i="4"/>
  <c r="F51" i="4"/>
  <c r="E51" i="4"/>
  <c r="D51" i="4"/>
  <c r="C51" i="4"/>
  <c r="B51" i="4"/>
  <c r="A51" i="4"/>
  <c r="H50" i="4"/>
  <c r="G50" i="4"/>
  <c r="F50" i="4"/>
  <c r="E50" i="4"/>
  <c r="D50" i="4"/>
  <c r="C50" i="4"/>
  <c r="B50" i="4"/>
  <c r="A50" i="4"/>
  <c r="H49" i="4"/>
  <c r="G49" i="4"/>
  <c r="F49" i="4"/>
  <c r="E49" i="4"/>
  <c r="D49" i="4"/>
  <c r="C49" i="4"/>
  <c r="B49" i="4"/>
  <c r="A49" i="4"/>
  <c r="H48" i="4"/>
  <c r="G48" i="4"/>
  <c r="F48" i="4"/>
  <c r="E48" i="4"/>
  <c r="D48" i="4"/>
  <c r="C48" i="4"/>
  <c r="B48" i="4"/>
  <c r="A48" i="4"/>
  <c r="H47" i="4"/>
  <c r="G47" i="4"/>
  <c r="F47" i="4"/>
  <c r="E47" i="4"/>
  <c r="D47" i="4"/>
  <c r="C47" i="4"/>
  <c r="B47" i="4"/>
  <c r="A47" i="4"/>
  <c r="H46" i="4"/>
  <c r="G46" i="4"/>
  <c r="F46" i="4"/>
  <c r="E46" i="4"/>
  <c r="D46" i="4"/>
  <c r="C46" i="4"/>
  <c r="B46" i="4"/>
  <c r="A46" i="4"/>
  <c r="H45" i="4"/>
  <c r="G45" i="4"/>
  <c r="F45" i="4"/>
  <c r="E45" i="4"/>
  <c r="D45" i="4"/>
  <c r="C45" i="4"/>
  <c r="B45" i="4"/>
  <c r="A45" i="4"/>
  <c r="H44" i="4"/>
  <c r="G44" i="4"/>
  <c r="F44" i="4"/>
  <c r="E44" i="4"/>
  <c r="D44" i="4"/>
  <c r="C44" i="4"/>
  <c r="B44" i="4"/>
  <c r="A44" i="4"/>
  <c r="H43" i="4"/>
  <c r="G43" i="4"/>
  <c r="F43" i="4"/>
  <c r="E43" i="4"/>
  <c r="D43" i="4"/>
  <c r="C43" i="4"/>
  <c r="B43" i="4"/>
  <c r="A43" i="4"/>
  <c r="H42" i="4"/>
  <c r="G42" i="4"/>
  <c r="F42" i="4"/>
  <c r="E42" i="4"/>
  <c r="D42" i="4"/>
  <c r="C42" i="4"/>
  <c r="B42" i="4"/>
  <c r="A42" i="4"/>
  <c r="H41" i="4"/>
  <c r="G41" i="4"/>
  <c r="F41" i="4"/>
  <c r="E41" i="4"/>
  <c r="D41" i="4"/>
  <c r="C41" i="4"/>
  <c r="B41" i="4"/>
  <c r="A41" i="4"/>
  <c r="H40" i="4"/>
  <c r="G40" i="4"/>
  <c r="F40" i="4"/>
  <c r="E40" i="4"/>
  <c r="D40" i="4"/>
  <c r="C40" i="4"/>
  <c r="B40" i="4"/>
  <c r="A40" i="4"/>
  <c r="H39" i="4"/>
  <c r="G39" i="4"/>
  <c r="F39" i="4"/>
  <c r="E39" i="4"/>
  <c r="D39" i="4"/>
  <c r="C39" i="4"/>
  <c r="B39" i="4"/>
  <c r="A39" i="4"/>
  <c r="H38" i="4"/>
  <c r="G38" i="4"/>
  <c r="F38" i="4"/>
  <c r="E38" i="4"/>
  <c r="D38" i="4"/>
  <c r="C38" i="4"/>
  <c r="B38" i="4"/>
  <c r="A38" i="4"/>
  <c r="H37" i="4"/>
  <c r="G37" i="4"/>
  <c r="F37" i="4"/>
  <c r="E37" i="4"/>
  <c r="D37" i="4"/>
  <c r="C37" i="4"/>
  <c r="B37" i="4"/>
  <c r="A37" i="4"/>
  <c r="H36" i="4"/>
  <c r="G36" i="4"/>
  <c r="F36" i="4"/>
  <c r="E36" i="4"/>
  <c r="D36" i="4"/>
  <c r="C36" i="4"/>
  <c r="B36" i="4"/>
  <c r="A36" i="4"/>
  <c r="H35" i="4"/>
  <c r="G35" i="4"/>
  <c r="F35" i="4"/>
  <c r="E35" i="4"/>
  <c r="D35" i="4"/>
  <c r="C35" i="4"/>
  <c r="B35" i="4"/>
  <c r="A35" i="4"/>
  <c r="H34" i="4"/>
  <c r="G34" i="4"/>
  <c r="F34" i="4"/>
  <c r="E34" i="4"/>
  <c r="D34" i="4"/>
  <c r="C34" i="4"/>
  <c r="B34" i="4"/>
  <c r="A34" i="4"/>
  <c r="H33" i="4"/>
  <c r="G33" i="4"/>
  <c r="F33" i="4"/>
  <c r="E33" i="4"/>
  <c r="D33" i="4"/>
  <c r="C33" i="4"/>
  <c r="B33" i="4"/>
  <c r="A33" i="4"/>
  <c r="H32" i="4"/>
  <c r="G32" i="4"/>
  <c r="F32" i="4"/>
  <c r="E32" i="4"/>
  <c r="D32" i="4"/>
  <c r="C32" i="4"/>
  <c r="B32" i="4"/>
  <c r="A32" i="4"/>
  <c r="H31" i="4"/>
  <c r="G31" i="4"/>
  <c r="F31" i="4"/>
  <c r="E31" i="4"/>
  <c r="D31" i="4"/>
  <c r="C31" i="4"/>
  <c r="B31" i="4"/>
  <c r="A31" i="4"/>
  <c r="H30" i="4"/>
  <c r="G30" i="4"/>
  <c r="F30" i="4"/>
  <c r="E30" i="4"/>
  <c r="D30" i="4"/>
  <c r="C30" i="4"/>
  <c r="B30" i="4"/>
  <c r="A30" i="4"/>
  <c r="H29" i="4"/>
  <c r="G29" i="4"/>
  <c r="F29" i="4"/>
  <c r="E29" i="4"/>
  <c r="D29" i="4"/>
  <c r="C29" i="4"/>
  <c r="B29" i="4"/>
  <c r="A29" i="4"/>
  <c r="H28" i="4"/>
  <c r="G28" i="4"/>
  <c r="F28" i="4"/>
  <c r="E28" i="4"/>
  <c r="D28" i="4"/>
  <c r="C28" i="4"/>
  <c r="B28" i="4"/>
  <c r="A28" i="4"/>
  <c r="H27" i="4"/>
  <c r="G27" i="4"/>
  <c r="F27" i="4"/>
  <c r="E27" i="4"/>
  <c r="D27" i="4"/>
  <c r="C27" i="4"/>
  <c r="B27" i="4"/>
  <c r="A27" i="4"/>
  <c r="H26" i="4"/>
  <c r="G26" i="4"/>
  <c r="F26" i="4"/>
  <c r="E26" i="4"/>
  <c r="D26" i="4"/>
  <c r="C26" i="4"/>
  <c r="B26" i="4"/>
  <c r="A26" i="4"/>
  <c r="H25" i="4"/>
  <c r="G25" i="4"/>
  <c r="F25" i="4"/>
  <c r="E25" i="4"/>
  <c r="D25" i="4"/>
  <c r="C25" i="4"/>
  <c r="B25" i="4"/>
  <c r="A25" i="4"/>
  <c r="H24" i="4"/>
  <c r="G24" i="4"/>
  <c r="F24" i="4"/>
  <c r="E24" i="4"/>
  <c r="D24" i="4"/>
  <c r="C24" i="4"/>
  <c r="B24" i="4"/>
  <c r="A24" i="4"/>
  <c r="H23" i="4"/>
  <c r="G23" i="4"/>
  <c r="F23" i="4"/>
  <c r="E23" i="4"/>
  <c r="D23" i="4"/>
  <c r="C23" i="4"/>
  <c r="B23" i="4"/>
  <c r="A23" i="4"/>
  <c r="H22" i="4"/>
  <c r="G22" i="4"/>
  <c r="F22" i="4"/>
  <c r="E22" i="4"/>
  <c r="D22" i="4"/>
  <c r="C22" i="4"/>
  <c r="B22" i="4"/>
  <c r="A22" i="4"/>
  <c r="H21" i="4"/>
  <c r="G21" i="4"/>
  <c r="F21" i="4"/>
  <c r="E21" i="4"/>
  <c r="D21" i="4"/>
  <c r="C21" i="4"/>
  <c r="B21" i="4"/>
  <c r="A21" i="4"/>
  <c r="H20" i="4"/>
  <c r="G20" i="4"/>
  <c r="F20" i="4"/>
  <c r="E20" i="4"/>
  <c r="D20" i="4"/>
  <c r="C20" i="4"/>
  <c r="B20" i="4"/>
  <c r="A20" i="4"/>
  <c r="H19" i="4"/>
  <c r="G19" i="4"/>
  <c r="F19" i="4"/>
  <c r="E19" i="4"/>
  <c r="D19" i="4"/>
  <c r="C19" i="4"/>
  <c r="B19" i="4"/>
  <c r="A19" i="4"/>
  <c r="H18" i="4"/>
  <c r="G18" i="4"/>
  <c r="F18" i="4"/>
  <c r="E18" i="4"/>
  <c r="D18" i="4"/>
  <c r="C18" i="4"/>
  <c r="B18" i="4"/>
  <c r="A18" i="4"/>
  <c r="H17" i="4"/>
  <c r="G17" i="4"/>
  <c r="F17" i="4"/>
  <c r="E17" i="4"/>
  <c r="D17" i="4"/>
  <c r="C17" i="4"/>
  <c r="B17" i="4"/>
  <c r="A17" i="4"/>
  <c r="H16" i="4"/>
  <c r="G16" i="4"/>
  <c r="F16" i="4"/>
  <c r="E16" i="4"/>
  <c r="D16" i="4"/>
  <c r="C16" i="4"/>
  <c r="B16" i="4"/>
  <c r="A16" i="4"/>
  <c r="H15" i="4"/>
  <c r="G15" i="4"/>
  <c r="F15" i="4"/>
  <c r="E15" i="4"/>
  <c r="D15" i="4"/>
  <c r="C15" i="4"/>
  <c r="B15" i="4"/>
  <c r="A15" i="4"/>
  <c r="H14" i="4"/>
  <c r="G14" i="4"/>
  <c r="F14" i="4"/>
  <c r="E14" i="4"/>
  <c r="D14" i="4"/>
  <c r="C14" i="4"/>
  <c r="B14" i="4"/>
  <c r="A14" i="4"/>
  <c r="H13" i="4"/>
  <c r="G13" i="4"/>
  <c r="F13" i="4"/>
  <c r="E13" i="4"/>
  <c r="D13" i="4"/>
  <c r="C13" i="4"/>
  <c r="B13" i="4"/>
  <c r="A13" i="4"/>
  <c r="H12" i="4"/>
  <c r="G12" i="4"/>
  <c r="F12" i="4"/>
  <c r="E12" i="4"/>
  <c r="D12" i="4"/>
  <c r="C12" i="4"/>
  <c r="B12" i="4"/>
  <c r="A12" i="4"/>
  <c r="H11" i="4"/>
  <c r="G11" i="4"/>
  <c r="F11" i="4"/>
  <c r="E11" i="4"/>
  <c r="D11" i="4"/>
  <c r="C11" i="4"/>
  <c r="B11" i="4"/>
  <c r="A11" i="4"/>
  <c r="H10" i="4"/>
  <c r="G10" i="4"/>
  <c r="F10" i="4"/>
  <c r="E10" i="4"/>
  <c r="D10" i="4"/>
  <c r="C10" i="4"/>
  <c r="B10" i="4"/>
  <c r="A10" i="4"/>
  <c r="H9" i="4"/>
  <c r="G9" i="4"/>
  <c r="F9" i="4"/>
  <c r="E9" i="4"/>
  <c r="D9" i="4"/>
  <c r="C9" i="4"/>
  <c r="B9" i="4"/>
  <c r="A9" i="4"/>
  <c r="H8" i="4"/>
  <c r="G8" i="4"/>
  <c r="F8" i="4"/>
  <c r="E8" i="4"/>
  <c r="D8" i="4"/>
  <c r="C8" i="4"/>
  <c r="B8" i="4"/>
  <c r="A8" i="4"/>
  <c r="H7" i="4"/>
  <c r="G7" i="4"/>
  <c r="F7" i="4"/>
  <c r="E7" i="4"/>
  <c r="D7" i="4"/>
  <c r="C7" i="4"/>
  <c r="B7" i="4"/>
  <c r="A7" i="4"/>
  <c r="A3" i="4"/>
  <c r="H188" i="3"/>
  <c r="G188" i="3"/>
  <c r="F188" i="3"/>
  <c r="E188" i="3"/>
  <c r="D188" i="3"/>
  <c r="C188" i="3"/>
  <c r="B188" i="3"/>
  <c r="A188" i="3"/>
  <c r="H187" i="3"/>
  <c r="G187" i="3"/>
  <c r="F187" i="3"/>
  <c r="E187" i="3"/>
  <c r="D187" i="3"/>
  <c r="C187" i="3"/>
  <c r="B187" i="3"/>
  <c r="A187" i="3"/>
  <c r="H186" i="3"/>
  <c r="G186" i="3"/>
  <c r="F186" i="3"/>
  <c r="E186" i="3"/>
  <c r="D186" i="3"/>
  <c r="C186" i="3"/>
  <c r="B186" i="3"/>
  <c r="A186" i="3"/>
  <c r="H185" i="3"/>
  <c r="G185" i="3"/>
  <c r="F185" i="3"/>
  <c r="E185" i="3"/>
  <c r="D185" i="3"/>
  <c r="C185" i="3"/>
  <c r="B185" i="3"/>
  <c r="A185" i="3"/>
  <c r="H184" i="3"/>
  <c r="G184" i="3"/>
  <c r="F184" i="3"/>
  <c r="E184" i="3"/>
  <c r="D184" i="3"/>
  <c r="C184" i="3"/>
  <c r="B184" i="3"/>
  <c r="A184" i="3"/>
  <c r="H183" i="3"/>
  <c r="G183" i="3"/>
  <c r="F183" i="3"/>
  <c r="E183" i="3"/>
  <c r="D183" i="3"/>
  <c r="C183" i="3"/>
  <c r="B183" i="3"/>
  <c r="A183" i="3"/>
  <c r="H182" i="3"/>
  <c r="G182" i="3"/>
  <c r="F182" i="3"/>
  <c r="E182" i="3"/>
  <c r="D182" i="3"/>
  <c r="C182" i="3"/>
  <c r="B182" i="3"/>
  <c r="A182" i="3"/>
  <c r="H181" i="3"/>
  <c r="G181" i="3"/>
  <c r="F181" i="3"/>
  <c r="E181" i="3"/>
  <c r="D181" i="3"/>
  <c r="C181" i="3"/>
  <c r="B181" i="3"/>
  <c r="A181" i="3"/>
  <c r="H180" i="3"/>
  <c r="G180" i="3"/>
  <c r="F180" i="3"/>
  <c r="E180" i="3"/>
  <c r="D180" i="3"/>
  <c r="C180" i="3"/>
  <c r="B180" i="3"/>
  <c r="A180" i="3"/>
  <c r="H179" i="3"/>
  <c r="G179" i="3"/>
  <c r="F179" i="3"/>
  <c r="E179" i="3"/>
  <c r="D179" i="3"/>
  <c r="C179" i="3"/>
  <c r="B179" i="3"/>
  <c r="A179" i="3"/>
  <c r="H178" i="3"/>
  <c r="G178" i="3"/>
  <c r="F178" i="3"/>
  <c r="E178" i="3"/>
  <c r="D178" i="3"/>
  <c r="C178" i="3"/>
  <c r="B178" i="3"/>
  <c r="A178" i="3"/>
  <c r="H177" i="3"/>
  <c r="G177" i="3"/>
  <c r="F177" i="3"/>
  <c r="E177" i="3"/>
  <c r="D177" i="3"/>
  <c r="C177" i="3"/>
  <c r="B177" i="3"/>
  <c r="A177" i="3"/>
  <c r="H176" i="3"/>
  <c r="G176" i="3"/>
  <c r="F176" i="3"/>
  <c r="E176" i="3"/>
  <c r="D176" i="3"/>
  <c r="C176" i="3"/>
  <c r="B176" i="3"/>
  <c r="A176" i="3"/>
  <c r="H175" i="3"/>
  <c r="G175" i="3"/>
  <c r="F175" i="3"/>
  <c r="E175" i="3"/>
  <c r="D175" i="3"/>
  <c r="C175" i="3"/>
  <c r="B175" i="3"/>
  <c r="A175" i="3"/>
  <c r="H174" i="3"/>
  <c r="G174" i="3"/>
  <c r="F174" i="3"/>
  <c r="E174" i="3"/>
  <c r="D174" i="3"/>
  <c r="C174" i="3"/>
  <c r="B174" i="3"/>
  <c r="A174" i="3"/>
  <c r="H173" i="3"/>
  <c r="G173" i="3"/>
  <c r="F173" i="3"/>
  <c r="E173" i="3"/>
  <c r="D173" i="3"/>
  <c r="C173" i="3"/>
  <c r="B173" i="3"/>
  <c r="A173" i="3"/>
  <c r="H172" i="3"/>
  <c r="G172" i="3"/>
  <c r="F172" i="3"/>
  <c r="E172" i="3"/>
  <c r="D172" i="3"/>
  <c r="C172" i="3"/>
  <c r="B172" i="3"/>
  <c r="A172" i="3"/>
  <c r="H171" i="3"/>
  <c r="G171" i="3"/>
  <c r="F171" i="3"/>
  <c r="E171" i="3"/>
  <c r="D171" i="3"/>
  <c r="C171" i="3"/>
  <c r="B171" i="3"/>
  <c r="A171" i="3"/>
  <c r="H170" i="3"/>
  <c r="G170" i="3"/>
  <c r="F170" i="3"/>
  <c r="E170" i="3"/>
  <c r="D170" i="3"/>
  <c r="C170" i="3"/>
  <c r="B170" i="3"/>
  <c r="A170" i="3"/>
  <c r="H169" i="3"/>
  <c r="G169" i="3"/>
  <c r="F169" i="3"/>
  <c r="E169" i="3"/>
  <c r="D169" i="3"/>
  <c r="C169" i="3"/>
  <c r="B169" i="3"/>
  <c r="A169" i="3"/>
  <c r="H168" i="3"/>
  <c r="G168" i="3"/>
  <c r="F168" i="3"/>
  <c r="E168" i="3"/>
  <c r="D168" i="3"/>
  <c r="C168" i="3"/>
  <c r="B168" i="3"/>
  <c r="A168" i="3"/>
  <c r="H167" i="3"/>
  <c r="G167" i="3"/>
  <c r="F167" i="3"/>
  <c r="E167" i="3"/>
  <c r="D167" i="3"/>
  <c r="C167" i="3"/>
  <c r="B167" i="3"/>
  <c r="A167" i="3"/>
  <c r="H166" i="3"/>
  <c r="G166" i="3"/>
  <c r="F166" i="3"/>
  <c r="E166" i="3"/>
  <c r="D166" i="3"/>
  <c r="C166" i="3"/>
  <c r="B166" i="3"/>
  <c r="A166" i="3"/>
  <c r="H165" i="3"/>
  <c r="G165" i="3"/>
  <c r="F165" i="3"/>
  <c r="E165" i="3"/>
  <c r="D165" i="3"/>
  <c r="C165" i="3"/>
  <c r="B165" i="3"/>
  <c r="A165" i="3"/>
  <c r="H164" i="3"/>
  <c r="G164" i="3"/>
  <c r="F164" i="3"/>
  <c r="E164" i="3"/>
  <c r="D164" i="3"/>
  <c r="C164" i="3"/>
  <c r="B164" i="3"/>
  <c r="A164" i="3"/>
  <c r="H163" i="3"/>
  <c r="G163" i="3"/>
  <c r="F163" i="3"/>
  <c r="E163" i="3"/>
  <c r="D163" i="3"/>
  <c r="C163" i="3"/>
  <c r="B163" i="3"/>
  <c r="A163" i="3"/>
  <c r="H162" i="3"/>
  <c r="G162" i="3"/>
  <c r="F162" i="3"/>
  <c r="E162" i="3"/>
  <c r="D162" i="3"/>
  <c r="C162" i="3"/>
  <c r="B162" i="3"/>
  <c r="A162" i="3"/>
  <c r="H161" i="3"/>
  <c r="G161" i="3"/>
  <c r="F161" i="3"/>
  <c r="E161" i="3"/>
  <c r="D161" i="3"/>
  <c r="C161" i="3"/>
  <c r="B161" i="3"/>
  <c r="A161" i="3"/>
  <c r="H160" i="3"/>
  <c r="G160" i="3"/>
  <c r="F160" i="3"/>
  <c r="E160" i="3"/>
  <c r="D160" i="3"/>
  <c r="C160" i="3"/>
  <c r="B160" i="3"/>
  <c r="A160" i="3"/>
  <c r="H159" i="3"/>
  <c r="G159" i="3"/>
  <c r="F159" i="3"/>
  <c r="E159" i="3"/>
  <c r="D159" i="3"/>
  <c r="C159" i="3"/>
  <c r="B159" i="3"/>
  <c r="A159" i="3"/>
  <c r="H158" i="3"/>
  <c r="G158" i="3"/>
  <c r="F158" i="3"/>
  <c r="E158" i="3"/>
  <c r="D158" i="3"/>
  <c r="C158" i="3"/>
  <c r="B158" i="3"/>
  <c r="A158" i="3"/>
  <c r="H157" i="3"/>
  <c r="G157" i="3"/>
  <c r="F157" i="3"/>
  <c r="E157" i="3"/>
  <c r="D157" i="3"/>
  <c r="C157" i="3"/>
  <c r="B157" i="3"/>
  <c r="A157" i="3"/>
  <c r="H156" i="3"/>
  <c r="G156" i="3"/>
  <c r="F156" i="3"/>
  <c r="E156" i="3"/>
  <c r="D156" i="3"/>
  <c r="C156" i="3"/>
  <c r="B156" i="3"/>
  <c r="A156" i="3"/>
  <c r="H155" i="3"/>
  <c r="G155" i="3"/>
  <c r="F155" i="3"/>
  <c r="E155" i="3"/>
  <c r="D155" i="3"/>
  <c r="C155" i="3"/>
  <c r="B155" i="3"/>
  <c r="A155" i="3"/>
  <c r="H154" i="3"/>
  <c r="G154" i="3"/>
  <c r="F154" i="3"/>
  <c r="E154" i="3"/>
  <c r="D154" i="3"/>
  <c r="C154" i="3"/>
  <c r="B154" i="3"/>
  <c r="A154" i="3"/>
  <c r="H153" i="3"/>
  <c r="G153" i="3"/>
  <c r="F153" i="3"/>
  <c r="E153" i="3"/>
  <c r="D153" i="3"/>
  <c r="C153" i="3"/>
  <c r="B153" i="3"/>
  <c r="A153" i="3"/>
  <c r="H152" i="3"/>
  <c r="G152" i="3"/>
  <c r="F152" i="3"/>
  <c r="E152" i="3"/>
  <c r="D152" i="3"/>
  <c r="C152" i="3"/>
  <c r="B152" i="3"/>
  <c r="A152" i="3"/>
  <c r="H151" i="3"/>
  <c r="G151" i="3"/>
  <c r="F151" i="3"/>
  <c r="E151" i="3"/>
  <c r="D151" i="3"/>
  <c r="C151" i="3"/>
  <c r="B151" i="3"/>
  <c r="A151" i="3"/>
  <c r="H150" i="3"/>
  <c r="G150" i="3"/>
  <c r="F150" i="3"/>
  <c r="E150" i="3"/>
  <c r="D150" i="3"/>
  <c r="C150" i="3"/>
  <c r="B150" i="3"/>
  <c r="A150" i="3"/>
  <c r="H149" i="3"/>
  <c r="G149" i="3"/>
  <c r="F149" i="3"/>
  <c r="E149" i="3"/>
  <c r="D149" i="3"/>
  <c r="C149" i="3"/>
  <c r="B149" i="3"/>
  <c r="A149" i="3"/>
  <c r="H148" i="3"/>
  <c r="G148" i="3"/>
  <c r="F148" i="3"/>
  <c r="E148" i="3"/>
  <c r="D148" i="3"/>
  <c r="C148" i="3"/>
  <c r="B148" i="3"/>
  <c r="A148" i="3"/>
  <c r="H147" i="3"/>
  <c r="G147" i="3"/>
  <c r="F147" i="3"/>
  <c r="E147" i="3"/>
  <c r="D147" i="3"/>
  <c r="C147" i="3"/>
  <c r="B147" i="3"/>
  <c r="A147" i="3"/>
  <c r="H146" i="3"/>
  <c r="G146" i="3"/>
  <c r="F146" i="3"/>
  <c r="E146" i="3"/>
  <c r="D146" i="3"/>
  <c r="C146" i="3"/>
  <c r="B146" i="3"/>
  <c r="A146" i="3"/>
  <c r="H145" i="3"/>
  <c r="G145" i="3"/>
  <c r="F145" i="3"/>
  <c r="E145" i="3"/>
  <c r="D145" i="3"/>
  <c r="C145" i="3"/>
  <c r="B145" i="3"/>
  <c r="A145" i="3"/>
  <c r="H144" i="3"/>
  <c r="G144" i="3"/>
  <c r="F144" i="3"/>
  <c r="E144" i="3"/>
  <c r="D144" i="3"/>
  <c r="C144" i="3"/>
  <c r="B144" i="3"/>
  <c r="A144" i="3"/>
  <c r="H143" i="3"/>
  <c r="G143" i="3"/>
  <c r="F143" i="3"/>
  <c r="E143" i="3"/>
  <c r="D143" i="3"/>
  <c r="C143" i="3"/>
  <c r="B143" i="3"/>
  <c r="A143" i="3"/>
  <c r="H142" i="3"/>
  <c r="G142" i="3"/>
  <c r="F142" i="3"/>
  <c r="E142" i="3"/>
  <c r="D142" i="3"/>
  <c r="C142" i="3"/>
  <c r="B142" i="3"/>
  <c r="A142" i="3"/>
  <c r="H141" i="3"/>
  <c r="G141" i="3"/>
  <c r="F141" i="3"/>
  <c r="E141" i="3"/>
  <c r="D141" i="3"/>
  <c r="C141" i="3"/>
  <c r="B141" i="3"/>
  <c r="A141" i="3"/>
  <c r="H140" i="3"/>
  <c r="G140" i="3"/>
  <c r="F140" i="3"/>
  <c r="E140" i="3"/>
  <c r="D140" i="3"/>
  <c r="C140" i="3"/>
  <c r="B140" i="3"/>
  <c r="A140" i="3"/>
  <c r="H139" i="3"/>
  <c r="G139" i="3"/>
  <c r="F139" i="3"/>
  <c r="E139" i="3"/>
  <c r="D139" i="3"/>
  <c r="C139" i="3"/>
  <c r="B139" i="3"/>
  <c r="A139" i="3"/>
  <c r="H138" i="3"/>
  <c r="G138" i="3"/>
  <c r="F138" i="3"/>
  <c r="E138" i="3"/>
  <c r="D138" i="3"/>
  <c r="C138" i="3"/>
  <c r="B138" i="3"/>
  <c r="A138" i="3"/>
  <c r="H137" i="3"/>
  <c r="G137" i="3"/>
  <c r="F137" i="3"/>
  <c r="E137" i="3"/>
  <c r="D137" i="3"/>
  <c r="C137" i="3"/>
  <c r="B137" i="3"/>
  <c r="A137" i="3"/>
  <c r="H136" i="3"/>
  <c r="G136" i="3"/>
  <c r="F136" i="3"/>
  <c r="E136" i="3"/>
  <c r="D136" i="3"/>
  <c r="C136" i="3"/>
  <c r="B136" i="3"/>
  <c r="A136" i="3"/>
  <c r="H135" i="3"/>
  <c r="G135" i="3"/>
  <c r="F135" i="3"/>
  <c r="E135" i="3"/>
  <c r="D135" i="3"/>
  <c r="C135" i="3"/>
  <c r="B135" i="3"/>
  <c r="A135" i="3"/>
  <c r="H134" i="3"/>
  <c r="G134" i="3"/>
  <c r="F134" i="3"/>
  <c r="E134" i="3"/>
  <c r="D134" i="3"/>
  <c r="C134" i="3"/>
  <c r="B134" i="3"/>
  <c r="A134" i="3"/>
  <c r="H133" i="3"/>
  <c r="G133" i="3"/>
  <c r="F133" i="3"/>
  <c r="E133" i="3"/>
  <c r="D133" i="3"/>
  <c r="C133" i="3"/>
  <c r="B133" i="3"/>
  <c r="A133" i="3"/>
  <c r="H132" i="3"/>
  <c r="G132" i="3"/>
  <c r="F132" i="3"/>
  <c r="E132" i="3"/>
  <c r="D132" i="3"/>
  <c r="C132" i="3"/>
  <c r="B132" i="3"/>
  <c r="A132" i="3"/>
  <c r="H131" i="3"/>
  <c r="G131" i="3"/>
  <c r="F131" i="3"/>
  <c r="E131" i="3"/>
  <c r="D131" i="3"/>
  <c r="C131" i="3"/>
  <c r="B131" i="3"/>
  <c r="A131" i="3"/>
  <c r="H130" i="3"/>
  <c r="G130" i="3"/>
  <c r="F130" i="3"/>
  <c r="E130" i="3"/>
  <c r="D130" i="3"/>
  <c r="C130" i="3"/>
  <c r="B130" i="3"/>
  <c r="A130" i="3"/>
  <c r="H129" i="3"/>
  <c r="G129" i="3"/>
  <c r="F129" i="3"/>
  <c r="E129" i="3"/>
  <c r="D129" i="3"/>
  <c r="C129" i="3"/>
  <c r="B129" i="3"/>
  <c r="A129" i="3"/>
  <c r="H128" i="3"/>
  <c r="G128" i="3"/>
  <c r="F128" i="3"/>
  <c r="E128" i="3"/>
  <c r="D128" i="3"/>
  <c r="C128" i="3"/>
  <c r="B128" i="3"/>
  <c r="A128" i="3"/>
  <c r="H127" i="3"/>
  <c r="G127" i="3"/>
  <c r="F127" i="3"/>
  <c r="E127" i="3"/>
  <c r="D127" i="3"/>
  <c r="C127" i="3"/>
  <c r="B127" i="3"/>
  <c r="A127" i="3"/>
  <c r="H126" i="3"/>
  <c r="G126" i="3"/>
  <c r="F126" i="3"/>
  <c r="E126" i="3"/>
  <c r="D126" i="3"/>
  <c r="C126" i="3"/>
  <c r="B126" i="3"/>
  <c r="A126" i="3"/>
  <c r="H125" i="3"/>
  <c r="G125" i="3"/>
  <c r="F125" i="3"/>
  <c r="E125" i="3"/>
  <c r="D125" i="3"/>
  <c r="C125" i="3"/>
  <c r="B125" i="3"/>
  <c r="A125" i="3"/>
  <c r="H124" i="3"/>
  <c r="G124" i="3"/>
  <c r="F124" i="3"/>
  <c r="E124" i="3"/>
  <c r="D124" i="3"/>
  <c r="C124" i="3"/>
  <c r="B124" i="3"/>
  <c r="A124" i="3"/>
  <c r="H123" i="3"/>
  <c r="G123" i="3"/>
  <c r="F123" i="3"/>
  <c r="E123" i="3"/>
  <c r="D123" i="3"/>
  <c r="C123" i="3"/>
  <c r="B123" i="3"/>
  <c r="A123" i="3"/>
  <c r="H122" i="3"/>
  <c r="G122" i="3"/>
  <c r="F122" i="3"/>
  <c r="E122" i="3"/>
  <c r="D122" i="3"/>
  <c r="C122" i="3"/>
  <c r="B122" i="3"/>
  <c r="A122" i="3"/>
  <c r="H121" i="3"/>
  <c r="G121" i="3"/>
  <c r="F121" i="3"/>
  <c r="E121" i="3"/>
  <c r="D121" i="3"/>
  <c r="C121" i="3"/>
  <c r="B121" i="3"/>
  <c r="A121" i="3"/>
  <c r="H120" i="3"/>
  <c r="G120" i="3"/>
  <c r="F120" i="3"/>
  <c r="E120" i="3"/>
  <c r="D120" i="3"/>
  <c r="C120" i="3"/>
  <c r="B120" i="3"/>
  <c r="A120" i="3"/>
  <c r="H119" i="3"/>
  <c r="G119" i="3"/>
  <c r="F119" i="3"/>
  <c r="E119" i="3"/>
  <c r="D119" i="3"/>
  <c r="C119" i="3"/>
  <c r="B119" i="3"/>
  <c r="A119" i="3"/>
  <c r="H118" i="3"/>
  <c r="G118" i="3"/>
  <c r="F118" i="3"/>
  <c r="E118" i="3"/>
  <c r="D118" i="3"/>
  <c r="C118" i="3"/>
  <c r="B118" i="3"/>
  <c r="A118" i="3"/>
  <c r="H117" i="3"/>
  <c r="G117" i="3"/>
  <c r="F117" i="3"/>
  <c r="E117" i="3"/>
  <c r="D117" i="3"/>
  <c r="C117" i="3"/>
  <c r="B117" i="3"/>
  <c r="A117" i="3"/>
  <c r="H116" i="3"/>
  <c r="G116" i="3"/>
  <c r="F116" i="3"/>
  <c r="E116" i="3"/>
  <c r="D116" i="3"/>
  <c r="C116" i="3"/>
  <c r="B116" i="3"/>
  <c r="A116" i="3"/>
  <c r="H115" i="3"/>
  <c r="G115" i="3"/>
  <c r="F115" i="3"/>
  <c r="E115" i="3"/>
  <c r="D115" i="3"/>
  <c r="C115" i="3"/>
  <c r="B115" i="3"/>
  <c r="A115" i="3"/>
  <c r="H114" i="3"/>
  <c r="G114" i="3"/>
  <c r="F114" i="3"/>
  <c r="E114" i="3"/>
  <c r="D114" i="3"/>
  <c r="C114" i="3"/>
  <c r="B114" i="3"/>
  <c r="A114" i="3"/>
  <c r="H113" i="3"/>
  <c r="G113" i="3"/>
  <c r="F113" i="3"/>
  <c r="E113" i="3"/>
  <c r="D113" i="3"/>
  <c r="C113" i="3"/>
  <c r="B113" i="3"/>
  <c r="A113" i="3"/>
  <c r="H112" i="3"/>
  <c r="G112" i="3"/>
  <c r="F112" i="3"/>
  <c r="E112" i="3"/>
  <c r="D112" i="3"/>
  <c r="C112" i="3"/>
  <c r="B112" i="3"/>
  <c r="A112" i="3"/>
  <c r="H111" i="3"/>
  <c r="G111" i="3"/>
  <c r="F111" i="3"/>
  <c r="E111" i="3"/>
  <c r="D111" i="3"/>
  <c r="C111" i="3"/>
  <c r="B111" i="3"/>
  <c r="A111" i="3"/>
  <c r="H110" i="3"/>
  <c r="G110" i="3"/>
  <c r="F110" i="3"/>
  <c r="E110" i="3"/>
  <c r="D110" i="3"/>
  <c r="C110" i="3"/>
  <c r="B110" i="3"/>
  <c r="A110" i="3"/>
  <c r="H109" i="3"/>
  <c r="G109" i="3"/>
  <c r="F109" i="3"/>
  <c r="E109" i="3"/>
  <c r="D109" i="3"/>
  <c r="C109" i="3"/>
  <c r="B109" i="3"/>
  <c r="A109" i="3"/>
  <c r="H108" i="3"/>
  <c r="G108" i="3"/>
  <c r="F108" i="3"/>
  <c r="E108" i="3"/>
  <c r="D108" i="3"/>
  <c r="C108" i="3"/>
  <c r="B108" i="3"/>
  <c r="A108" i="3"/>
  <c r="H107" i="3"/>
  <c r="G107" i="3"/>
  <c r="F107" i="3"/>
  <c r="E107" i="3"/>
  <c r="D107" i="3"/>
  <c r="C107" i="3"/>
  <c r="B107" i="3"/>
  <c r="A107" i="3"/>
  <c r="H106" i="3"/>
  <c r="G106" i="3"/>
  <c r="F106" i="3"/>
  <c r="E106" i="3"/>
  <c r="D106" i="3"/>
  <c r="C106" i="3"/>
  <c r="B106" i="3"/>
  <c r="A106" i="3"/>
  <c r="H105" i="3"/>
  <c r="G105" i="3"/>
  <c r="F105" i="3"/>
  <c r="E105" i="3"/>
  <c r="D105" i="3"/>
  <c r="C105" i="3"/>
  <c r="B105" i="3"/>
  <c r="A105" i="3"/>
  <c r="H104" i="3"/>
  <c r="G104" i="3"/>
  <c r="F104" i="3"/>
  <c r="E104" i="3"/>
  <c r="D104" i="3"/>
  <c r="C104" i="3"/>
  <c r="B104" i="3"/>
  <c r="A104" i="3"/>
  <c r="H103" i="3"/>
  <c r="G103" i="3"/>
  <c r="F103" i="3"/>
  <c r="E103" i="3"/>
  <c r="D103" i="3"/>
  <c r="C103" i="3"/>
  <c r="B103" i="3"/>
  <c r="A103" i="3"/>
  <c r="H102" i="3"/>
  <c r="G102" i="3"/>
  <c r="F102" i="3"/>
  <c r="E102" i="3"/>
  <c r="D102" i="3"/>
  <c r="C102" i="3"/>
  <c r="B102" i="3"/>
  <c r="A102" i="3"/>
  <c r="H101" i="3"/>
  <c r="G101" i="3"/>
  <c r="F101" i="3"/>
  <c r="E101" i="3"/>
  <c r="D101" i="3"/>
  <c r="C101" i="3"/>
  <c r="B101" i="3"/>
  <c r="A101" i="3"/>
  <c r="H100" i="3"/>
  <c r="G100" i="3"/>
  <c r="F100" i="3"/>
  <c r="E100" i="3"/>
  <c r="D100" i="3"/>
  <c r="C100" i="3"/>
  <c r="B100" i="3"/>
  <c r="A100" i="3"/>
  <c r="H99" i="3"/>
  <c r="G99" i="3"/>
  <c r="F99" i="3"/>
  <c r="D99" i="3"/>
  <c r="C99" i="3"/>
  <c r="B99" i="3"/>
  <c r="A99" i="3"/>
  <c r="H98" i="3"/>
  <c r="G98" i="3"/>
  <c r="F98" i="3"/>
  <c r="D98" i="3"/>
  <c r="C98" i="3"/>
  <c r="B98" i="3"/>
  <c r="A98" i="3"/>
  <c r="H97" i="3"/>
  <c r="G97" i="3"/>
  <c r="F97" i="3"/>
  <c r="D97" i="3"/>
  <c r="C97" i="3"/>
  <c r="B97" i="3"/>
  <c r="A97" i="3"/>
  <c r="H96" i="3"/>
  <c r="G96" i="3"/>
  <c r="F96" i="3"/>
  <c r="D96" i="3"/>
  <c r="C96" i="3"/>
  <c r="B96" i="3"/>
  <c r="A96" i="3"/>
  <c r="H95" i="3"/>
  <c r="G95" i="3"/>
  <c r="F95" i="3"/>
  <c r="D95" i="3"/>
  <c r="C95" i="3"/>
  <c r="B95" i="3"/>
  <c r="A95" i="3"/>
  <c r="H94" i="3"/>
  <c r="G94" i="3"/>
  <c r="F94" i="3"/>
  <c r="D94" i="3"/>
  <c r="C94" i="3"/>
  <c r="B94" i="3"/>
  <c r="A94" i="3"/>
  <c r="H93" i="3"/>
  <c r="G93" i="3"/>
  <c r="F93" i="3"/>
  <c r="D93" i="3"/>
  <c r="C93" i="3"/>
  <c r="B93" i="3"/>
  <c r="A93" i="3"/>
  <c r="H92" i="3"/>
  <c r="G92" i="3"/>
  <c r="F92" i="3"/>
  <c r="D92" i="3"/>
  <c r="C92" i="3"/>
  <c r="B92" i="3"/>
  <c r="A92" i="3"/>
  <c r="H91" i="3"/>
  <c r="G91" i="3"/>
  <c r="F91" i="3"/>
  <c r="D91" i="3"/>
  <c r="C91" i="3"/>
  <c r="B91" i="3"/>
  <c r="A91" i="3"/>
  <c r="H90" i="3"/>
  <c r="G90" i="3"/>
  <c r="F90" i="3"/>
  <c r="D90" i="3"/>
  <c r="C90" i="3"/>
  <c r="B90" i="3"/>
  <c r="A90" i="3"/>
  <c r="H89" i="3"/>
  <c r="G89" i="3"/>
  <c r="F89" i="3"/>
  <c r="E89" i="3"/>
  <c r="D89" i="3"/>
  <c r="C89" i="3"/>
  <c r="B89" i="3"/>
  <c r="A89" i="3"/>
  <c r="H88" i="3"/>
  <c r="G88" i="3"/>
  <c r="F88" i="3"/>
  <c r="E88" i="3"/>
  <c r="D88" i="3"/>
  <c r="C88" i="3"/>
  <c r="B88" i="3"/>
  <c r="A88" i="3"/>
  <c r="H87" i="3"/>
  <c r="G87" i="3"/>
  <c r="F87" i="3"/>
  <c r="E87" i="3"/>
  <c r="D87" i="3"/>
  <c r="C87" i="3"/>
  <c r="B87" i="3"/>
  <c r="A87" i="3"/>
  <c r="H86" i="3"/>
  <c r="G86" i="3"/>
  <c r="F86" i="3"/>
  <c r="E86" i="3"/>
  <c r="D86" i="3"/>
  <c r="C86" i="3"/>
  <c r="B86" i="3"/>
  <c r="A86" i="3"/>
  <c r="H85" i="3"/>
  <c r="G85" i="3"/>
  <c r="F85" i="3"/>
  <c r="E85" i="3"/>
  <c r="D85" i="3"/>
  <c r="C85" i="3"/>
  <c r="B85" i="3"/>
  <c r="A85" i="3"/>
  <c r="H84" i="3"/>
  <c r="G84" i="3"/>
  <c r="F84" i="3"/>
  <c r="E84" i="3"/>
  <c r="D84" i="3"/>
  <c r="C84" i="3"/>
  <c r="B84" i="3"/>
  <c r="A84" i="3"/>
  <c r="H83" i="3"/>
  <c r="G83" i="3"/>
  <c r="F83" i="3"/>
  <c r="E83" i="3"/>
  <c r="D83" i="3"/>
  <c r="C83" i="3"/>
  <c r="B83" i="3"/>
  <c r="A83" i="3"/>
  <c r="H82" i="3"/>
  <c r="G82" i="3"/>
  <c r="F82" i="3"/>
  <c r="E82" i="3"/>
  <c r="D82" i="3"/>
  <c r="C82" i="3"/>
  <c r="B82" i="3"/>
  <c r="A82" i="3"/>
  <c r="H81" i="3"/>
  <c r="G81" i="3"/>
  <c r="F81" i="3"/>
  <c r="E81" i="3"/>
  <c r="D81" i="3"/>
  <c r="C81" i="3"/>
  <c r="B81" i="3"/>
  <c r="A81" i="3"/>
  <c r="H80" i="3"/>
  <c r="G80" i="3"/>
  <c r="F80" i="3"/>
  <c r="E80" i="3"/>
  <c r="D80" i="3"/>
  <c r="C80" i="3"/>
  <c r="B80" i="3"/>
  <c r="A80" i="3"/>
  <c r="H79" i="3"/>
  <c r="G79" i="3"/>
  <c r="F79" i="3"/>
  <c r="E79" i="3"/>
  <c r="D79" i="3"/>
  <c r="C79" i="3"/>
  <c r="B79" i="3"/>
  <c r="A79" i="3"/>
  <c r="H78" i="3"/>
  <c r="G78" i="3"/>
  <c r="F78" i="3"/>
  <c r="E78" i="3"/>
  <c r="D78" i="3"/>
  <c r="C78" i="3"/>
  <c r="B78" i="3"/>
  <c r="A78" i="3"/>
  <c r="H77" i="3"/>
  <c r="G77" i="3"/>
  <c r="F77" i="3"/>
  <c r="E77" i="3"/>
  <c r="D77" i="3"/>
  <c r="C77" i="3"/>
  <c r="B77" i="3"/>
  <c r="A77" i="3"/>
  <c r="H76" i="3"/>
  <c r="G76" i="3"/>
  <c r="F76" i="3"/>
  <c r="E76" i="3"/>
  <c r="D76" i="3"/>
  <c r="C76" i="3"/>
  <c r="B76" i="3"/>
  <c r="A76" i="3"/>
  <c r="H75" i="3"/>
  <c r="G75" i="3"/>
  <c r="F75" i="3"/>
  <c r="E75" i="3"/>
  <c r="D75" i="3"/>
  <c r="C75" i="3"/>
  <c r="B75" i="3"/>
  <c r="A75" i="3"/>
  <c r="H74" i="3"/>
  <c r="G74" i="3"/>
  <c r="F74" i="3"/>
  <c r="E74" i="3"/>
  <c r="D74" i="3"/>
  <c r="C74" i="3"/>
  <c r="B74" i="3"/>
  <c r="A74" i="3"/>
  <c r="H73" i="3"/>
  <c r="G73" i="3"/>
  <c r="F73" i="3"/>
  <c r="E73" i="3"/>
  <c r="D73" i="3"/>
  <c r="C73" i="3"/>
  <c r="B73" i="3"/>
  <c r="A73" i="3"/>
  <c r="H72" i="3"/>
  <c r="G72" i="3"/>
  <c r="F72" i="3"/>
  <c r="E72" i="3"/>
  <c r="D72" i="3"/>
  <c r="C72" i="3"/>
  <c r="B72" i="3"/>
  <c r="A72" i="3"/>
  <c r="H71" i="3"/>
  <c r="G71" i="3"/>
  <c r="F71" i="3"/>
  <c r="E71" i="3"/>
  <c r="D71" i="3"/>
  <c r="C71" i="3"/>
  <c r="B71" i="3"/>
  <c r="A71" i="3"/>
  <c r="H70" i="3"/>
  <c r="G70" i="3"/>
  <c r="F70" i="3"/>
  <c r="E70" i="3"/>
  <c r="D70" i="3"/>
  <c r="C70" i="3"/>
  <c r="B70" i="3"/>
  <c r="A70" i="3"/>
  <c r="H69" i="3"/>
  <c r="G69" i="3"/>
  <c r="F69" i="3"/>
  <c r="E69" i="3"/>
  <c r="D69" i="3"/>
  <c r="C69" i="3"/>
  <c r="B69" i="3"/>
  <c r="A69" i="3"/>
  <c r="H68" i="3"/>
  <c r="G68" i="3"/>
  <c r="F68" i="3"/>
  <c r="E68" i="3"/>
  <c r="D68" i="3"/>
  <c r="C68" i="3"/>
  <c r="B68" i="3"/>
  <c r="A68" i="3"/>
  <c r="H67" i="3"/>
  <c r="G67" i="3"/>
  <c r="F67" i="3"/>
  <c r="E67" i="3"/>
  <c r="D67" i="3"/>
  <c r="C67" i="3"/>
  <c r="B67" i="3"/>
  <c r="A67" i="3"/>
  <c r="H66" i="3"/>
  <c r="G66" i="3"/>
  <c r="F66" i="3"/>
  <c r="E66" i="3"/>
  <c r="D66" i="3"/>
  <c r="C66" i="3"/>
  <c r="B66" i="3"/>
  <c r="A66" i="3"/>
  <c r="H65" i="3"/>
  <c r="G65" i="3"/>
  <c r="F65" i="3"/>
  <c r="E65" i="3"/>
  <c r="D65" i="3"/>
  <c r="C65" i="3"/>
  <c r="B65" i="3"/>
  <c r="A65" i="3"/>
  <c r="H64" i="3"/>
  <c r="G64" i="3"/>
  <c r="F64" i="3"/>
  <c r="E64" i="3"/>
  <c r="D64" i="3"/>
  <c r="C64" i="3"/>
  <c r="B64" i="3"/>
  <c r="A64" i="3"/>
  <c r="H63" i="3"/>
  <c r="G63" i="3"/>
  <c r="F63" i="3"/>
  <c r="E63" i="3"/>
  <c r="D63" i="3"/>
  <c r="C63" i="3"/>
  <c r="B63" i="3"/>
  <c r="A63" i="3"/>
  <c r="H62" i="3"/>
  <c r="G62" i="3"/>
  <c r="F62" i="3"/>
  <c r="E62" i="3"/>
  <c r="D62" i="3"/>
  <c r="C62" i="3"/>
  <c r="B62" i="3"/>
  <c r="A62" i="3"/>
  <c r="H61" i="3"/>
  <c r="G61" i="3"/>
  <c r="F61" i="3"/>
  <c r="E61" i="3"/>
  <c r="D61" i="3"/>
  <c r="C61" i="3"/>
  <c r="B61" i="3"/>
  <c r="A61" i="3"/>
  <c r="H60" i="3"/>
  <c r="G60" i="3"/>
  <c r="F60" i="3"/>
  <c r="E60" i="3"/>
  <c r="D60" i="3"/>
  <c r="C60" i="3"/>
  <c r="B60" i="3"/>
  <c r="A60" i="3"/>
  <c r="H59" i="3"/>
  <c r="G59" i="3"/>
  <c r="F59" i="3"/>
  <c r="E59" i="3"/>
  <c r="D59" i="3"/>
  <c r="C59" i="3"/>
  <c r="B59" i="3"/>
  <c r="A59" i="3"/>
  <c r="H58" i="3"/>
  <c r="G58" i="3"/>
  <c r="F58" i="3"/>
  <c r="E58" i="3"/>
  <c r="D58" i="3"/>
  <c r="C58" i="3"/>
  <c r="B58" i="3"/>
  <c r="A58" i="3"/>
  <c r="H57" i="3"/>
  <c r="G57" i="3"/>
  <c r="F57" i="3"/>
  <c r="E57" i="3"/>
  <c r="D57" i="3"/>
  <c r="C57" i="3"/>
  <c r="B57" i="3"/>
  <c r="A57" i="3"/>
  <c r="H56" i="3"/>
  <c r="G56" i="3"/>
  <c r="F56" i="3"/>
  <c r="E56" i="3"/>
  <c r="D56" i="3"/>
  <c r="C56" i="3"/>
  <c r="B56" i="3"/>
  <c r="A56" i="3"/>
  <c r="H55" i="3"/>
  <c r="G55" i="3"/>
  <c r="F55" i="3"/>
  <c r="E55" i="3"/>
  <c r="D55" i="3"/>
  <c r="C55" i="3"/>
  <c r="B55" i="3"/>
  <c r="A55" i="3"/>
  <c r="H54" i="3"/>
  <c r="G54" i="3"/>
  <c r="F54" i="3"/>
  <c r="E54" i="3"/>
  <c r="D54" i="3"/>
  <c r="C54" i="3"/>
  <c r="B54" i="3"/>
  <c r="A54" i="3"/>
  <c r="H53" i="3"/>
  <c r="G53" i="3"/>
  <c r="F53" i="3"/>
  <c r="E53" i="3"/>
  <c r="D53" i="3"/>
  <c r="C53" i="3"/>
  <c r="B53" i="3"/>
  <c r="A53" i="3"/>
  <c r="H52" i="3"/>
  <c r="G52" i="3"/>
  <c r="F52" i="3"/>
  <c r="E52" i="3"/>
  <c r="D52" i="3"/>
  <c r="C52" i="3"/>
  <c r="B52" i="3"/>
  <c r="A52" i="3"/>
  <c r="H51" i="3"/>
  <c r="G51" i="3"/>
  <c r="F51" i="3"/>
  <c r="E51" i="3"/>
  <c r="D51" i="3"/>
  <c r="C51" i="3"/>
  <c r="B51" i="3"/>
  <c r="A51" i="3"/>
  <c r="H50" i="3"/>
  <c r="G50" i="3"/>
  <c r="F50" i="3"/>
  <c r="E50" i="3"/>
  <c r="D50" i="3"/>
  <c r="C50" i="3"/>
  <c r="B50" i="3"/>
  <c r="A50" i="3"/>
  <c r="H49" i="3"/>
  <c r="G49" i="3"/>
  <c r="F49" i="3"/>
  <c r="E49" i="3"/>
  <c r="D49" i="3"/>
  <c r="C49" i="3"/>
  <c r="B49" i="3"/>
  <c r="A49" i="3"/>
  <c r="H48" i="3"/>
  <c r="G48" i="3"/>
  <c r="F48" i="3"/>
  <c r="E48" i="3"/>
  <c r="D48" i="3"/>
  <c r="C48" i="3"/>
  <c r="B48" i="3"/>
  <c r="A48" i="3"/>
  <c r="H47" i="3"/>
  <c r="G47" i="3"/>
  <c r="F47" i="3"/>
  <c r="E47" i="3"/>
  <c r="D47" i="3"/>
  <c r="C47" i="3"/>
  <c r="B47" i="3"/>
  <c r="A47" i="3"/>
  <c r="H46" i="3"/>
  <c r="G46" i="3"/>
  <c r="F46" i="3"/>
  <c r="E46" i="3"/>
  <c r="D46" i="3"/>
  <c r="C46" i="3"/>
  <c r="B46" i="3"/>
  <c r="A46" i="3"/>
  <c r="H45" i="3"/>
  <c r="G45" i="3"/>
  <c r="F45" i="3"/>
  <c r="E45" i="3"/>
  <c r="D45" i="3"/>
  <c r="C45" i="3"/>
  <c r="B45" i="3"/>
  <c r="A45" i="3"/>
  <c r="H44" i="3"/>
  <c r="G44" i="3"/>
  <c r="F44" i="3"/>
  <c r="E44" i="3"/>
  <c r="D44" i="3"/>
  <c r="C44" i="3"/>
  <c r="B44" i="3"/>
  <c r="A44" i="3"/>
  <c r="H43" i="3"/>
  <c r="G43" i="3"/>
  <c r="F43" i="3"/>
  <c r="E43" i="3"/>
  <c r="D43" i="3"/>
  <c r="C43" i="3"/>
  <c r="B43" i="3"/>
  <c r="A43" i="3"/>
  <c r="H42" i="3"/>
  <c r="G42" i="3"/>
  <c r="F42" i="3"/>
  <c r="E42" i="3"/>
  <c r="D42" i="3"/>
  <c r="C42" i="3"/>
  <c r="B42" i="3"/>
  <c r="A42" i="3"/>
  <c r="H41" i="3"/>
  <c r="G41" i="3"/>
  <c r="F41" i="3"/>
  <c r="E41" i="3"/>
  <c r="D41" i="3"/>
  <c r="C41" i="3"/>
  <c r="B41" i="3"/>
  <c r="A41" i="3"/>
  <c r="H40" i="3"/>
  <c r="G40" i="3"/>
  <c r="F40" i="3"/>
  <c r="E40" i="3"/>
  <c r="D40" i="3"/>
  <c r="C40" i="3"/>
  <c r="B40" i="3"/>
  <c r="A40" i="3"/>
  <c r="H39" i="3"/>
  <c r="G39" i="3"/>
  <c r="F39" i="3"/>
  <c r="E39" i="3"/>
  <c r="D39" i="3"/>
  <c r="C39" i="3"/>
  <c r="B39" i="3"/>
  <c r="A39" i="3"/>
  <c r="H38" i="3"/>
  <c r="G38" i="3"/>
  <c r="F38" i="3"/>
  <c r="E38" i="3"/>
  <c r="D38" i="3"/>
  <c r="C38" i="3"/>
  <c r="B38" i="3"/>
  <c r="A38" i="3"/>
  <c r="H37" i="3"/>
  <c r="G37" i="3"/>
  <c r="F37" i="3"/>
  <c r="E37" i="3"/>
  <c r="D37" i="3"/>
  <c r="C37" i="3"/>
  <c r="B37" i="3"/>
  <c r="A37" i="3"/>
  <c r="H36" i="3"/>
  <c r="G36" i="3"/>
  <c r="F36" i="3"/>
  <c r="E36" i="3"/>
  <c r="D36" i="3"/>
  <c r="C36" i="3"/>
  <c r="B36" i="3"/>
  <c r="A36" i="3"/>
  <c r="H35" i="3"/>
  <c r="G35" i="3"/>
  <c r="F35" i="3"/>
  <c r="E35" i="3"/>
  <c r="D35" i="3"/>
  <c r="C35" i="3"/>
  <c r="B35" i="3"/>
  <c r="A35" i="3"/>
  <c r="H34" i="3"/>
  <c r="G34" i="3"/>
  <c r="F34" i="3"/>
  <c r="E34" i="3"/>
  <c r="D34" i="3"/>
  <c r="C34" i="3"/>
  <c r="B34" i="3"/>
  <c r="A34" i="3"/>
  <c r="H33" i="3"/>
  <c r="G33" i="3"/>
  <c r="F33" i="3"/>
  <c r="E33" i="3"/>
  <c r="D33" i="3"/>
  <c r="C33" i="3"/>
  <c r="B33" i="3"/>
  <c r="A33" i="3"/>
  <c r="H32" i="3"/>
  <c r="G32" i="3"/>
  <c r="F32" i="3"/>
  <c r="E32" i="3"/>
  <c r="D32" i="3"/>
  <c r="C32" i="3"/>
  <c r="B32" i="3"/>
  <c r="A32" i="3"/>
  <c r="H31" i="3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G27" i="3"/>
  <c r="F27" i="3"/>
  <c r="E27" i="3"/>
  <c r="D27" i="3"/>
  <c r="C27" i="3"/>
  <c r="B27" i="3"/>
  <c r="A27" i="3"/>
  <c r="H26" i="3"/>
  <c r="G26" i="3"/>
  <c r="F26" i="3"/>
  <c r="E26" i="3"/>
  <c r="D26" i="3"/>
  <c r="C26" i="3"/>
  <c r="B26" i="3"/>
  <c r="A26" i="3"/>
  <c r="H25" i="3"/>
  <c r="G25" i="3"/>
  <c r="F25" i="3"/>
  <c r="E25" i="3"/>
  <c r="D25" i="3"/>
  <c r="C25" i="3"/>
  <c r="B25" i="3"/>
  <c r="A25" i="3"/>
  <c r="H24" i="3"/>
  <c r="G24" i="3"/>
  <c r="F24" i="3"/>
  <c r="E24" i="3"/>
  <c r="D24" i="3"/>
  <c r="C24" i="3"/>
  <c r="B24" i="3"/>
  <c r="A24" i="3"/>
  <c r="H23" i="3"/>
  <c r="G23" i="3"/>
  <c r="F23" i="3"/>
  <c r="E23" i="3"/>
  <c r="D23" i="3"/>
  <c r="C23" i="3"/>
  <c r="B23" i="3"/>
  <c r="A23" i="3"/>
  <c r="H22" i="3"/>
  <c r="G22" i="3"/>
  <c r="F22" i="3"/>
  <c r="E22" i="3"/>
  <c r="D22" i="3"/>
  <c r="C22" i="3"/>
  <c r="B22" i="3"/>
  <c r="A22" i="3"/>
  <c r="H21" i="3"/>
  <c r="G21" i="3"/>
  <c r="F21" i="3"/>
  <c r="E21" i="3"/>
  <c r="D21" i="3"/>
  <c r="C21" i="3"/>
  <c r="B21" i="3"/>
  <c r="A21" i="3"/>
  <c r="H20" i="3"/>
  <c r="G20" i="3"/>
  <c r="F20" i="3"/>
  <c r="E20" i="3"/>
  <c r="D20" i="3"/>
  <c r="C20" i="3"/>
  <c r="B20" i="3"/>
  <c r="A20" i="3"/>
  <c r="H19" i="3"/>
  <c r="G19" i="3"/>
  <c r="F19" i="3"/>
  <c r="E19" i="3"/>
  <c r="D19" i="3"/>
  <c r="C19" i="3"/>
  <c r="B19" i="3"/>
  <c r="A19" i="3"/>
  <c r="H18" i="3"/>
  <c r="G18" i="3"/>
  <c r="F18" i="3"/>
  <c r="E18" i="3"/>
  <c r="D18" i="3"/>
  <c r="C18" i="3"/>
  <c r="B18" i="3"/>
  <c r="A18" i="3"/>
  <c r="H17" i="3"/>
  <c r="G17" i="3"/>
  <c r="F17" i="3"/>
  <c r="E17" i="3"/>
  <c r="D17" i="3"/>
  <c r="C17" i="3"/>
  <c r="B17" i="3"/>
  <c r="A17" i="3"/>
  <c r="H16" i="3"/>
  <c r="G16" i="3"/>
  <c r="F16" i="3"/>
  <c r="E16" i="3"/>
  <c r="D16" i="3"/>
  <c r="C16" i="3"/>
  <c r="B16" i="3"/>
  <c r="A16" i="3"/>
  <c r="H15" i="3"/>
  <c r="G15" i="3"/>
  <c r="F15" i="3"/>
  <c r="E15" i="3"/>
  <c r="D15" i="3"/>
  <c r="C15" i="3"/>
  <c r="B15" i="3"/>
  <c r="A15" i="3"/>
  <c r="H14" i="3"/>
  <c r="G14" i="3"/>
  <c r="F14" i="3"/>
  <c r="E14" i="3"/>
  <c r="D14" i="3"/>
  <c r="C14" i="3"/>
  <c r="B14" i="3"/>
  <c r="A14" i="3"/>
  <c r="H13" i="3"/>
  <c r="G13" i="3"/>
  <c r="F13" i="3"/>
  <c r="E13" i="3"/>
  <c r="D13" i="3"/>
  <c r="C13" i="3"/>
  <c r="B13" i="3"/>
  <c r="A13" i="3"/>
  <c r="H12" i="3"/>
  <c r="G12" i="3"/>
  <c r="F12" i="3"/>
  <c r="E12" i="3"/>
  <c r="D12" i="3"/>
  <c r="C12" i="3"/>
  <c r="B12" i="3"/>
  <c r="A12" i="3"/>
  <c r="H11" i="3"/>
  <c r="G11" i="3"/>
  <c r="F11" i="3"/>
  <c r="E11" i="3"/>
  <c r="D11" i="3"/>
  <c r="C11" i="3"/>
  <c r="B11" i="3"/>
  <c r="A11" i="3"/>
  <c r="H10" i="3"/>
  <c r="G10" i="3"/>
  <c r="F10" i="3"/>
  <c r="E10" i="3"/>
  <c r="D10" i="3"/>
  <c r="C10" i="3"/>
  <c r="B10" i="3"/>
  <c r="A10" i="3"/>
  <c r="H9" i="3"/>
  <c r="G9" i="3"/>
  <c r="F9" i="3"/>
  <c r="E9" i="3"/>
  <c r="D9" i="3"/>
  <c r="C9" i="3"/>
  <c r="B9" i="3"/>
  <c r="A9" i="3"/>
  <c r="H8" i="3"/>
  <c r="G8" i="3"/>
  <c r="F8" i="3"/>
  <c r="E8" i="3"/>
  <c r="D8" i="3"/>
  <c r="C8" i="3"/>
  <c r="B8" i="3"/>
  <c r="A8" i="3"/>
  <c r="H7" i="3"/>
  <c r="G7" i="3"/>
  <c r="F7" i="3"/>
  <c r="E7" i="3"/>
  <c r="D7" i="3"/>
  <c r="C7" i="3"/>
  <c r="B7" i="3"/>
  <c r="A7" i="3"/>
  <c r="A3" i="3"/>
  <c r="H188" i="2"/>
  <c r="G188" i="2"/>
  <c r="F188" i="2"/>
  <c r="E188" i="2"/>
  <c r="D188" i="2"/>
  <c r="C188" i="2"/>
  <c r="B188" i="2"/>
  <c r="A188" i="2"/>
  <c r="H187" i="2"/>
  <c r="G187" i="2"/>
  <c r="F187" i="2"/>
  <c r="E187" i="2"/>
  <c r="D187" i="2"/>
  <c r="C187" i="2"/>
  <c r="B187" i="2"/>
  <c r="A187" i="2"/>
  <c r="H186" i="2"/>
  <c r="G186" i="2"/>
  <c r="F186" i="2"/>
  <c r="E186" i="2"/>
  <c r="D186" i="2"/>
  <c r="C186" i="2"/>
  <c r="B186" i="2"/>
  <c r="A186" i="2"/>
  <c r="H185" i="2"/>
  <c r="G185" i="2"/>
  <c r="F185" i="2"/>
  <c r="E185" i="2"/>
  <c r="D185" i="2"/>
  <c r="C185" i="2"/>
  <c r="B185" i="2"/>
  <c r="A185" i="2"/>
  <c r="H184" i="2"/>
  <c r="G184" i="2"/>
  <c r="F184" i="2"/>
  <c r="E184" i="2"/>
  <c r="D184" i="2"/>
  <c r="C184" i="2"/>
  <c r="B184" i="2"/>
  <c r="A184" i="2"/>
  <c r="H183" i="2"/>
  <c r="G183" i="2"/>
  <c r="F183" i="2"/>
  <c r="E183" i="2"/>
  <c r="D183" i="2"/>
  <c r="C183" i="2"/>
  <c r="B183" i="2"/>
  <c r="A183" i="2"/>
  <c r="H182" i="2"/>
  <c r="G182" i="2"/>
  <c r="F182" i="2"/>
  <c r="E182" i="2"/>
  <c r="D182" i="2"/>
  <c r="C182" i="2"/>
  <c r="B182" i="2"/>
  <c r="A182" i="2"/>
  <c r="H181" i="2"/>
  <c r="G181" i="2"/>
  <c r="F181" i="2"/>
  <c r="E181" i="2"/>
  <c r="D181" i="2"/>
  <c r="C181" i="2"/>
  <c r="B181" i="2"/>
  <c r="A181" i="2"/>
  <c r="H180" i="2"/>
  <c r="G180" i="2"/>
  <c r="F180" i="2"/>
  <c r="E180" i="2"/>
  <c r="D180" i="2"/>
  <c r="C180" i="2"/>
  <c r="B180" i="2"/>
  <c r="A180" i="2"/>
  <c r="H179" i="2"/>
  <c r="G179" i="2"/>
  <c r="F179" i="2"/>
  <c r="E179" i="2"/>
  <c r="D179" i="2"/>
  <c r="C179" i="2"/>
  <c r="B179" i="2"/>
  <c r="A179" i="2"/>
  <c r="H178" i="2"/>
  <c r="G178" i="2"/>
  <c r="F178" i="2"/>
  <c r="E178" i="2"/>
  <c r="D178" i="2"/>
  <c r="C178" i="2"/>
  <c r="B178" i="2"/>
  <c r="A178" i="2"/>
  <c r="H177" i="2"/>
  <c r="G177" i="2"/>
  <c r="F177" i="2"/>
  <c r="E177" i="2"/>
  <c r="D177" i="2"/>
  <c r="C177" i="2"/>
  <c r="B177" i="2"/>
  <c r="A177" i="2"/>
  <c r="H176" i="2"/>
  <c r="G176" i="2"/>
  <c r="F176" i="2"/>
  <c r="E176" i="2"/>
  <c r="D176" i="2"/>
  <c r="C176" i="2"/>
  <c r="B176" i="2"/>
  <c r="A176" i="2"/>
  <c r="H175" i="2"/>
  <c r="G175" i="2"/>
  <c r="F175" i="2"/>
  <c r="E175" i="2"/>
  <c r="D175" i="2"/>
  <c r="C175" i="2"/>
  <c r="B175" i="2"/>
  <c r="A175" i="2"/>
  <c r="H174" i="2"/>
  <c r="G174" i="2"/>
  <c r="F174" i="2"/>
  <c r="E174" i="2"/>
  <c r="D174" i="2"/>
  <c r="C174" i="2"/>
  <c r="B174" i="2"/>
  <c r="A174" i="2"/>
  <c r="H173" i="2"/>
  <c r="G173" i="2"/>
  <c r="F173" i="2"/>
  <c r="E173" i="2"/>
  <c r="D173" i="2"/>
  <c r="C173" i="2"/>
  <c r="B173" i="2"/>
  <c r="A173" i="2"/>
  <c r="H172" i="2"/>
  <c r="G172" i="2"/>
  <c r="F172" i="2"/>
  <c r="E172" i="2"/>
  <c r="D172" i="2"/>
  <c r="C172" i="2"/>
  <c r="B172" i="2"/>
  <c r="A172" i="2"/>
  <c r="H171" i="2"/>
  <c r="G171" i="2"/>
  <c r="F171" i="2"/>
  <c r="E171" i="2"/>
  <c r="D171" i="2"/>
  <c r="C171" i="2"/>
  <c r="B171" i="2"/>
  <c r="A171" i="2"/>
  <c r="H170" i="2"/>
  <c r="G170" i="2"/>
  <c r="F170" i="2"/>
  <c r="E170" i="2"/>
  <c r="D170" i="2"/>
  <c r="C170" i="2"/>
  <c r="B170" i="2"/>
  <c r="A170" i="2"/>
  <c r="H169" i="2"/>
  <c r="G169" i="2"/>
  <c r="F169" i="2"/>
  <c r="E169" i="2"/>
  <c r="D169" i="2"/>
  <c r="C169" i="2"/>
  <c r="B169" i="2"/>
  <c r="A169" i="2"/>
  <c r="H168" i="2"/>
  <c r="G168" i="2"/>
  <c r="F168" i="2"/>
  <c r="E168" i="2"/>
  <c r="D168" i="2"/>
  <c r="C168" i="2"/>
  <c r="B168" i="2"/>
  <c r="A168" i="2"/>
  <c r="H167" i="2"/>
  <c r="G167" i="2"/>
  <c r="F167" i="2"/>
  <c r="E167" i="2"/>
  <c r="D167" i="2"/>
  <c r="C167" i="2"/>
  <c r="B167" i="2"/>
  <c r="A167" i="2"/>
  <c r="H166" i="2"/>
  <c r="G166" i="2"/>
  <c r="F166" i="2"/>
  <c r="E166" i="2"/>
  <c r="D166" i="2"/>
  <c r="C166" i="2"/>
  <c r="B166" i="2"/>
  <c r="A166" i="2"/>
  <c r="H165" i="2"/>
  <c r="G165" i="2"/>
  <c r="F165" i="2"/>
  <c r="E165" i="2"/>
  <c r="D165" i="2"/>
  <c r="C165" i="2"/>
  <c r="B165" i="2"/>
  <c r="A165" i="2"/>
  <c r="H164" i="2"/>
  <c r="G164" i="2"/>
  <c r="F164" i="2"/>
  <c r="E164" i="2"/>
  <c r="D164" i="2"/>
  <c r="C164" i="2"/>
  <c r="B164" i="2"/>
  <c r="A164" i="2"/>
  <c r="H163" i="2"/>
  <c r="G163" i="2"/>
  <c r="F163" i="2"/>
  <c r="E163" i="2"/>
  <c r="D163" i="2"/>
  <c r="C163" i="2"/>
  <c r="B163" i="2"/>
  <c r="A163" i="2"/>
  <c r="H162" i="2"/>
  <c r="G162" i="2"/>
  <c r="F162" i="2"/>
  <c r="E162" i="2"/>
  <c r="D162" i="2"/>
  <c r="C162" i="2"/>
  <c r="B162" i="2"/>
  <c r="A162" i="2"/>
  <c r="H161" i="2"/>
  <c r="G161" i="2"/>
  <c r="F161" i="2"/>
  <c r="E161" i="2"/>
  <c r="D161" i="2"/>
  <c r="C161" i="2"/>
  <c r="B161" i="2"/>
  <c r="A161" i="2"/>
  <c r="H160" i="2"/>
  <c r="G160" i="2"/>
  <c r="F160" i="2"/>
  <c r="E160" i="2"/>
  <c r="D160" i="2"/>
  <c r="C160" i="2"/>
  <c r="B160" i="2"/>
  <c r="A160" i="2"/>
  <c r="H159" i="2"/>
  <c r="G159" i="2"/>
  <c r="F159" i="2"/>
  <c r="E159" i="2"/>
  <c r="D159" i="2"/>
  <c r="C159" i="2"/>
  <c r="B159" i="2"/>
  <c r="A159" i="2"/>
  <c r="H158" i="2"/>
  <c r="G158" i="2"/>
  <c r="F158" i="2"/>
  <c r="E158" i="2"/>
  <c r="D158" i="2"/>
  <c r="C158" i="2"/>
  <c r="B158" i="2"/>
  <c r="A158" i="2"/>
  <c r="H157" i="2"/>
  <c r="G157" i="2"/>
  <c r="F157" i="2"/>
  <c r="E157" i="2"/>
  <c r="D157" i="2"/>
  <c r="C157" i="2"/>
  <c r="B157" i="2"/>
  <c r="A157" i="2"/>
  <c r="H156" i="2"/>
  <c r="G156" i="2"/>
  <c r="F156" i="2"/>
  <c r="E156" i="2"/>
  <c r="D156" i="2"/>
  <c r="C156" i="2"/>
  <c r="B156" i="2"/>
  <c r="A156" i="2"/>
  <c r="H155" i="2"/>
  <c r="G155" i="2"/>
  <c r="F155" i="2"/>
  <c r="E155" i="2"/>
  <c r="D155" i="2"/>
  <c r="C155" i="2"/>
  <c r="B155" i="2"/>
  <c r="A155" i="2"/>
  <c r="H154" i="2"/>
  <c r="G154" i="2"/>
  <c r="F154" i="2"/>
  <c r="E154" i="2"/>
  <c r="D154" i="2"/>
  <c r="C154" i="2"/>
  <c r="B154" i="2"/>
  <c r="A154" i="2"/>
  <c r="H153" i="2"/>
  <c r="G153" i="2"/>
  <c r="F153" i="2"/>
  <c r="E153" i="2"/>
  <c r="D153" i="2"/>
  <c r="C153" i="2"/>
  <c r="B153" i="2"/>
  <c r="A153" i="2"/>
  <c r="H152" i="2"/>
  <c r="G152" i="2"/>
  <c r="F152" i="2"/>
  <c r="E152" i="2"/>
  <c r="D152" i="2"/>
  <c r="C152" i="2"/>
  <c r="B152" i="2"/>
  <c r="A152" i="2"/>
  <c r="H151" i="2"/>
  <c r="G151" i="2"/>
  <c r="F151" i="2"/>
  <c r="E151" i="2"/>
  <c r="D151" i="2"/>
  <c r="C151" i="2"/>
  <c r="B151" i="2"/>
  <c r="A151" i="2"/>
  <c r="H150" i="2"/>
  <c r="G150" i="2"/>
  <c r="F150" i="2"/>
  <c r="E150" i="2"/>
  <c r="D150" i="2"/>
  <c r="C150" i="2"/>
  <c r="B150" i="2"/>
  <c r="A150" i="2"/>
  <c r="H149" i="2"/>
  <c r="G149" i="2"/>
  <c r="F149" i="2"/>
  <c r="E149" i="2"/>
  <c r="D149" i="2"/>
  <c r="C149" i="2"/>
  <c r="B149" i="2"/>
  <c r="A149" i="2"/>
  <c r="H148" i="2"/>
  <c r="G148" i="2"/>
  <c r="F148" i="2"/>
  <c r="E148" i="2"/>
  <c r="D148" i="2"/>
  <c r="C148" i="2"/>
  <c r="B148" i="2"/>
  <c r="A148" i="2"/>
  <c r="H147" i="2"/>
  <c r="G147" i="2"/>
  <c r="F147" i="2"/>
  <c r="E147" i="2"/>
  <c r="D147" i="2"/>
  <c r="C147" i="2"/>
  <c r="B147" i="2"/>
  <c r="A147" i="2"/>
  <c r="H146" i="2"/>
  <c r="G146" i="2"/>
  <c r="F146" i="2"/>
  <c r="E146" i="2"/>
  <c r="D146" i="2"/>
  <c r="C146" i="2"/>
  <c r="B146" i="2"/>
  <c r="A146" i="2"/>
  <c r="H145" i="2"/>
  <c r="G145" i="2"/>
  <c r="F145" i="2"/>
  <c r="E145" i="2"/>
  <c r="D145" i="2"/>
  <c r="C145" i="2"/>
  <c r="B145" i="2"/>
  <c r="A145" i="2"/>
  <c r="H144" i="2"/>
  <c r="G144" i="2"/>
  <c r="F144" i="2"/>
  <c r="E144" i="2"/>
  <c r="D144" i="2"/>
  <c r="C144" i="2"/>
  <c r="B144" i="2"/>
  <c r="A144" i="2"/>
  <c r="H143" i="2"/>
  <c r="G143" i="2"/>
  <c r="F143" i="2"/>
  <c r="E143" i="2"/>
  <c r="D143" i="2"/>
  <c r="C143" i="2"/>
  <c r="B143" i="2"/>
  <c r="A143" i="2"/>
  <c r="H142" i="2"/>
  <c r="G142" i="2"/>
  <c r="F142" i="2"/>
  <c r="E142" i="2"/>
  <c r="D142" i="2"/>
  <c r="C142" i="2"/>
  <c r="B142" i="2"/>
  <c r="A142" i="2"/>
  <c r="H141" i="2"/>
  <c r="G141" i="2"/>
  <c r="F141" i="2"/>
  <c r="E141" i="2"/>
  <c r="D141" i="2"/>
  <c r="C141" i="2"/>
  <c r="B141" i="2"/>
  <c r="A141" i="2"/>
  <c r="H140" i="2"/>
  <c r="G140" i="2"/>
  <c r="F140" i="2"/>
  <c r="E140" i="2"/>
  <c r="D140" i="2"/>
  <c r="C140" i="2"/>
  <c r="B140" i="2"/>
  <c r="A140" i="2"/>
  <c r="H139" i="2"/>
  <c r="G139" i="2"/>
  <c r="F139" i="2"/>
  <c r="E139" i="2"/>
  <c r="D139" i="2"/>
  <c r="C139" i="2"/>
  <c r="B139" i="2"/>
  <c r="A139" i="2"/>
  <c r="H138" i="2"/>
  <c r="G138" i="2"/>
  <c r="F138" i="2"/>
  <c r="E138" i="2"/>
  <c r="D138" i="2"/>
  <c r="C138" i="2"/>
  <c r="B138" i="2"/>
  <c r="A138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B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B131" i="2"/>
  <c r="A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6" i="2"/>
  <c r="G126" i="2"/>
  <c r="F126" i="2"/>
  <c r="E126" i="2"/>
  <c r="D126" i="2"/>
  <c r="C126" i="2"/>
  <c r="B126" i="2"/>
  <c r="A126" i="2"/>
  <c r="H125" i="2"/>
  <c r="G125" i="2"/>
  <c r="F125" i="2"/>
  <c r="E125" i="2"/>
  <c r="D125" i="2"/>
  <c r="C125" i="2"/>
  <c r="B125" i="2"/>
  <c r="A125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B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D99" i="2"/>
  <c r="C99" i="2"/>
  <c r="B99" i="2"/>
  <c r="A99" i="2"/>
  <c r="H98" i="2"/>
  <c r="G98" i="2"/>
  <c r="F98" i="2"/>
  <c r="D98" i="2"/>
  <c r="C98" i="2"/>
  <c r="B98" i="2"/>
  <c r="A98" i="2"/>
  <c r="H97" i="2"/>
  <c r="G97" i="2"/>
  <c r="F97" i="2"/>
  <c r="D97" i="2"/>
  <c r="C97" i="2"/>
  <c r="B97" i="2"/>
  <c r="A97" i="2"/>
  <c r="H96" i="2"/>
  <c r="G96" i="2"/>
  <c r="F96" i="2"/>
  <c r="D96" i="2"/>
  <c r="C96" i="2"/>
  <c r="B96" i="2"/>
  <c r="A96" i="2"/>
  <c r="H95" i="2"/>
  <c r="G95" i="2"/>
  <c r="F95" i="2"/>
  <c r="D95" i="2"/>
  <c r="C95" i="2"/>
  <c r="B95" i="2"/>
  <c r="A95" i="2"/>
  <c r="H94" i="2"/>
  <c r="G94" i="2"/>
  <c r="F94" i="2"/>
  <c r="D94" i="2"/>
  <c r="C94" i="2"/>
  <c r="B94" i="2"/>
  <c r="A94" i="2"/>
  <c r="H93" i="2"/>
  <c r="G93" i="2"/>
  <c r="F93" i="2"/>
  <c r="D93" i="2"/>
  <c r="C93" i="2"/>
  <c r="B93" i="2"/>
  <c r="A93" i="2"/>
  <c r="H92" i="2"/>
  <c r="G92" i="2"/>
  <c r="F92" i="2"/>
  <c r="D92" i="2"/>
  <c r="C92" i="2"/>
  <c r="B92" i="2"/>
  <c r="A92" i="2"/>
  <c r="H91" i="2"/>
  <c r="G91" i="2"/>
  <c r="F91" i="2"/>
  <c r="D91" i="2"/>
  <c r="C91" i="2"/>
  <c r="B91" i="2"/>
  <c r="A91" i="2"/>
  <c r="H90" i="2"/>
  <c r="G90" i="2"/>
  <c r="F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H86" i="2"/>
  <c r="G86" i="2"/>
  <c r="F86" i="2"/>
  <c r="E86" i="2"/>
  <c r="D86" i="2"/>
  <c r="C86" i="2"/>
  <c r="B86" i="2"/>
  <c r="A86" i="2"/>
  <c r="H85" i="2"/>
  <c r="G85" i="2"/>
  <c r="F85" i="2"/>
  <c r="E85" i="2"/>
  <c r="D85" i="2"/>
  <c r="C85" i="2"/>
  <c r="B85" i="2"/>
  <c r="A85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H51" i="2"/>
  <c r="G51" i="2"/>
  <c r="F51" i="2"/>
  <c r="E51" i="2"/>
  <c r="D51" i="2"/>
  <c r="C51" i="2"/>
  <c r="B51" i="2"/>
  <c r="A51" i="2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48" i="2"/>
  <c r="G48" i="2"/>
  <c r="F48" i="2"/>
  <c r="E48" i="2"/>
  <c r="D48" i="2"/>
  <c r="C48" i="2"/>
  <c r="B48" i="2"/>
  <c r="A48" i="2"/>
  <c r="H47" i="2"/>
  <c r="G47" i="2"/>
  <c r="F47" i="2"/>
  <c r="E47" i="2"/>
  <c r="D47" i="2"/>
  <c r="C47" i="2"/>
  <c r="B47" i="2"/>
  <c r="A47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H35" i="2"/>
  <c r="G35" i="2"/>
  <c r="F35" i="2"/>
  <c r="E35" i="2"/>
  <c r="D35" i="2"/>
  <c r="C35" i="2"/>
  <c r="B35" i="2"/>
  <c r="A35" i="2"/>
  <c r="H34" i="2"/>
  <c r="G34" i="2"/>
  <c r="F34" i="2"/>
  <c r="E34" i="2"/>
  <c r="D34" i="2"/>
  <c r="C34" i="2"/>
  <c r="B34" i="2"/>
  <c r="A34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A3" i="2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D99" i="1"/>
  <c r="C99" i="1"/>
  <c r="B99" i="1"/>
  <c r="A99" i="1"/>
  <c r="H98" i="1"/>
  <c r="G98" i="1"/>
  <c r="F98" i="1"/>
  <c r="D98" i="1"/>
  <c r="C98" i="1"/>
  <c r="B98" i="1"/>
  <c r="A98" i="1"/>
  <c r="H97" i="1"/>
  <c r="G97" i="1"/>
  <c r="F97" i="1"/>
  <c r="D97" i="1"/>
  <c r="C97" i="1"/>
  <c r="B97" i="1"/>
  <c r="A97" i="1"/>
  <c r="H96" i="1"/>
  <c r="G96" i="1"/>
  <c r="F96" i="1"/>
  <c r="D96" i="1"/>
  <c r="C96" i="1"/>
  <c r="B96" i="1"/>
  <c r="A96" i="1"/>
  <c r="H95" i="1"/>
  <c r="G95" i="1"/>
  <c r="F95" i="1"/>
  <c r="D95" i="1"/>
  <c r="C95" i="1"/>
  <c r="B95" i="1"/>
  <c r="A95" i="1"/>
  <c r="H94" i="1"/>
  <c r="G94" i="1"/>
  <c r="F94" i="1"/>
  <c r="D94" i="1"/>
  <c r="C94" i="1"/>
  <c r="B94" i="1"/>
  <c r="A94" i="1"/>
  <c r="H93" i="1"/>
  <c r="G93" i="1"/>
  <c r="F93" i="1"/>
  <c r="D93" i="1"/>
  <c r="C93" i="1"/>
  <c r="B93" i="1"/>
  <c r="A93" i="1"/>
  <c r="H92" i="1"/>
  <c r="G92" i="1"/>
  <c r="F92" i="1"/>
  <c r="D92" i="1"/>
  <c r="C92" i="1"/>
  <c r="B92" i="1"/>
  <c r="A92" i="1"/>
  <c r="H91" i="1"/>
  <c r="G91" i="1"/>
  <c r="F91" i="1"/>
  <c r="D91" i="1"/>
  <c r="C91" i="1"/>
  <c r="B91" i="1"/>
  <c r="A91" i="1"/>
  <c r="H90" i="1"/>
  <c r="G90" i="1"/>
  <c r="F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000-000001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B6" authorId="0" shapeId="0" xr:uid="{00000000-0006-0000-0000-000002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C6" authorId="0" shapeId="0" xr:uid="{00000000-0006-0000-0000-000003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zqu__ProductRatePlanCharge__c.Name</t>
        </r>
      </text>
    </comment>
    <comment ref="D6" authorId="0" shapeId="0" xr:uid="{00000000-0006-0000-0000-000004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zqu__ProductRatePlanCharge__c.zqu__Type__c</t>
        </r>
      </text>
    </comment>
    <comment ref="E6" authorId="0" shapeId="0" xr:uid="{00000000-0006-0000-0000-000005000000}">
      <text>
        <r>
          <rPr>
            <sz val="10"/>
            <color rgb="FF000000"/>
            <rFont val="Arial"/>
            <scheme val="minor"/>
          </rPr>
          <t>Salesforce Report Data
Report: Reseller Product Catalog
Field: Product2.Description</t>
        </r>
      </text>
    </comment>
    <comment ref="F6" authorId="0" shapeId="0" xr:uid="{00000000-0006-0000-0000-000006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zqu__ProductRatePlanChargeTier__c.CurrencyIsoCode</t>
        </r>
      </text>
    </comment>
    <comment ref="H6" authorId="0" shapeId="0" xr:uid="{00000000-0006-0000-0000-000007000000}">
      <text>
        <r>
          <rPr>
            <sz val="10"/>
            <color rgb="FF000000"/>
            <rFont val="Arial"/>
            <scheme val="minor"/>
          </rPr>
          <t>Salesforce Report Data
Report: Reseller Product Catalog
Field: CDF1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100-000001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B6" authorId="0" shapeId="0" xr:uid="{00000000-0006-0000-0100-000002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C6" authorId="0" shapeId="0" xr:uid="{00000000-0006-0000-0100-000003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zqu__ProductRatePlanCharge__c.Name</t>
        </r>
      </text>
    </comment>
    <comment ref="D6" authorId="0" shapeId="0" xr:uid="{00000000-0006-0000-0100-000004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zqu__ProductRatePlanCharge__c.zqu__Type__c</t>
        </r>
      </text>
    </comment>
    <comment ref="E6" authorId="0" shapeId="0" xr:uid="{00000000-0006-0000-0100-000005000000}">
      <text>
        <r>
          <rPr>
            <sz val="10"/>
            <color rgb="FF000000"/>
            <rFont val="Arial"/>
            <scheme val="minor"/>
          </rPr>
          <t>Salesforce Report Data
Report: Reseller Product Catalog
Field: Product2.Description</t>
        </r>
      </text>
    </comment>
    <comment ref="F6" authorId="0" shapeId="0" xr:uid="{00000000-0006-0000-0100-000006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zqu__ProductRatePlanChargeTier__c.CurrencyIsoCode</t>
        </r>
      </text>
    </comment>
    <comment ref="H6" authorId="0" shapeId="0" xr:uid="{00000000-0006-0000-0100-000007000000}">
      <text>
        <r>
          <rPr>
            <sz val="10"/>
            <color rgb="FF000000"/>
            <rFont val="Arial"/>
            <scheme val="minor"/>
          </rPr>
          <t>Salesforce Report Data
Report: Reseller Product Catalog
Field: CDF1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200-000001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B6" authorId="0" shapeId="0" xr:uid="{00000000-0006-0000-0200-000002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C6" authorId="0" shapeId="0" xr:uid="{00000000-0006-0000-0200-000003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zqu__ProductRatePlanCharge__c.Name</t>
        </r>
      </text>
    </comment>
    <comment ref="D6" authorId="0" shapeId="0" xr:uid="{00000000-0006-0000-0200-000004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zqu__ProductRatePlanCharge__c.zqu__Type__c</t>
        </r>
      </text>
    </comment>
    <comment ref="E6" authorId="0" shapeId="0" xr:uid="{00000000-0006-0000-0200-000005000000}">
      <text>
        <r>
          <rPr>
            <sz val="10"/>
            <color rgb="FF000000"/>
            <rFont val="Arial"/>
            <scheme val="minor"/>
          </rPr>
          <t>Salesforce Report Data
Report: Reseller Product Catalog
Field: Product2.Description</t>
        </r>
      </text>
    </comment>
    <comment ref="F6" authorId="0" shapeId="0" xr:uid="{00000000-0006-0000-0200-000006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zqu__ProductRatePlanChargeTier__c.CurrencyIsoCode</t>
        </r>
      </text>
    </comment>
    <comment ref="H6" authorId="0" shapeId="0" xr:uid="{00000000-0006-0000-0200-000007000000}">
      <text>
        <r>
          <rPr>
            <sz val="10"/>
            <color rgb="FF000000"/>
            <rFont val="Arial"/>
            <scheme val="minor"/>
          </rPr>
          <t>Salesforce Report Data
Report: Reseller Product Catalog
Field: CDF1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300-000001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B6" authorId="0" shapeId="0" xr:uid="{00000000-0006-0000-0300-000002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C6" authorId="0" shapeId="0" xr:uid="{00000000-0006-0000-0300-000003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zqu__ProductRatePlanCharge__c.Name</t>
        </r>
      </text>
    </comment>
    <comment ref="D6" authorId="0" shapeId="0" xr:uid="{00000000-0006-0000-0300-000004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zqu__ProductRatePlanCharge__c.zqu__Type__c</t>
        </r>
      </text>
    </comment>
    <comment ref="E6" authorId="0" shapeId="0" xr:uid="{00000000-0006-0000-0300-000005000000}">
      <text>
        <r>
          <rPr>
            <sz val="10"/>
            <color rgb="FF000000"/>
            <rFont val="Arial"/>
            <scheme val="minor"/>
          </rPr>
          <t>Salesforce Report Data
Report: Reseller Product Catalog
Field: Product2.Description</t>
        </r>
      </text>
    </comment>
    <comment ref="F6" authorId="0" shapeId="0" xr:uid="{00000000-0006-0000-0300-000006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zqu__ProductRatePlanChargeTier__c.CurrencyIsoCode</t>
        </r>
      </text>
    </comment>
    <comment ref="H6" authorId="0" shapeId="0" xr:uid="{00000000-0006-0000-0300-000007000000}">
      <text>
        <r>
          <rPr>
            <sz val="10"/>
            <color rgb="FF000000"/>
            <rFont val="Arial"/>
            <scheme val="minor"/>
          </rPr>
          <t>Salesforce Report Data
Report: Reseller Product Catalog
Field: CDF1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000000-0006-0000-0400-000001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B6" authorId="0" shapeId="0" xr:uid="{00000000-0006-0000-0400-000002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zqu__ProductRatePlan__c.Name</t>
        </r>
      </text>
    </comment>
    <comment ref="C6" authorId="0" shapeId="0" xr:uid="{00000000-0006-0000-0400-000003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zqu__ProductRatePlanCharge__c.Name</t>
        </r>
      </text>
    </comment>
    <comment ref="D6" authorId="0" shapeId="0" xr:uid="{00000000-0006-0000-0400-000004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zqu__ProductRatePlanCharge__c.zqu__Type__c</t>
        </r>
      </text>
    </comment>
    <comment ref="E6" authorId="0" shapeId="0" xr:uid="{00000000-0006-0000-0400-000005000000}">
      <text>
        <r>
          <rPr>
            <sz val="10"/>
            <color rgb="FF000000"/>
            <rFont val="Arial"/>
            <scheme val="minor"/>
          </rPr>
          <t>Salesforce Report Data
Report: Reseller Product Catalog
Field: Product2.Description</t>
        </r>
      </text>
    </comment>
    <comment ref="F6" authorId="0" shapeId="0" xr:uid="{00000000-0006-0000-0400-000006000000}">
      <text>
        <r>
          <rPr>
            <sz val="10"/>
            <color rgb="FF000000"/>
            <rFont val="Arial"/>
            <scheme val="minor"/>
          </rPr>
          <t>Salesforce Report Data
Report: Reseller Product Catalog
Field: zqu__ProductRatePlanChargeTier__c.CurrencyIsoCode</t>
        </r>
      </text>
    </comment>
    <comment ref="H6" authorId="0" shapeId="0" xr:uid="{00000000-0006-0000-0400-000007000000}">
      <text>
        <r>
          <rPr>
            <sz val="10"/>
            <color rgb="FF000000"/>
            <rFont val="Arial"/>
            <scheme val="minor"/>
          </rPr>
          <t>Salesforce Report Data
Report: Reseller Product Catalog
Field: CDF1</t>
        </r>
      </text>
    </comment>
  </commentList>
</comments>
</file>

<file path=xl/sharedStrings.xml><?xml version="1.0" encoding="utf-8"?>
<sst xmlns="http://schemas.openxmlformats.org/spreadsheetml/2006/main" count="59" uniqueCount="12">
  <si>
    <t>Reseller Product Catalog v2</t>
  </si>
  <si>
    <t>As of:</t>
  </si>
  <si>
    <t>(Type Recurringthe MSRP is an Annualized Value)</t>
  </si>
  <si>
    <t xml:space="preserve">** For recurring type products please reference the "Monthly Price" for any prorated quotes </t>
  </si>
  <si>
    <t>Product Name</t>
  </si>
  <si>
    <t>Rate Plan Name</t>
  </si>
  <si>
    <t>Rate Plan Charge Name</t>
  </si>
  <si>
    <t>Type</t>
  </si>
  <si>
    <t>Product Description</t>
  </si>
  <si>
    <t>Currency</t>
  </si>
  <si>
    <t>Monthly Price**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</si>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</sst>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5">
    <font>
      <sz val="10"/>
      <color rgb="FF000000"/>
      <name val="Arial"/>
      <scheme val="minor"/>
    </font>
    <font>
      <b/>
      <sz val="2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285F4"/>
        <bgColor rgb="FF4285F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0" fontId="3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tabSelected="1" workbookViewId="0"/>
  </sheetViews>
  <sheetFormatPr defaultColWidth="12.5703125" defaultRowHeight="15.75" customHeight="1"/>
  <cols>
    <col min="1" max="1" width="25.140625" customWidth="1"/>
    <col min="2" max="2" width="44.28515625" customWidth="1"/>
    <col min="3" max="3" width="32.140625" customWidth="1"/>
    <col min="4" max="4" width="8.42578125" customWidth="1"/>
    <col min="5" max="5" width="61.42578125" customWidth="1"/>
    <col min="6" max="6" width="8.42578125" customWidth="1"/>
    <col min="7" max="7" width="13.28515625" customWidth="1"/>
    <col min="8" max="8" width="9.42578125" customWidth="1"/>
  </cols>
  <sheetData>
    <row r="1" spans="1:8" ht="30">
      <c r="A1" s="1" t="s">
        <v>0</v>
      </c>
      <c r="B1" s="2"/>
      <c r="C1" s="3"/>
      <c r="D1" s="2"/>
      <c r="E1" s="3"/>
      <c r="F1" s="2"/>
      <c r="G1" s="2"/>
      <c r="H1" s="2"/>
    </row>
    <row r="2" spans="1:8">
      <c r="A2" s="4" t="s">
        <v>1</v>
      </c>
      <c r="B2" s="2"/>
      <c r="C2" s="3"/>
      <c r="D2" s="2"/>
      <c r="E2" s="3"/>
      <c r="F2" s="2"/>
      <c r="G2" s="2"/>
      <c r="H2" s="2"/>
    </row>
    <row r="3" spans="1:8">
      <c r="A3" s="5">
        <f ca="1">NOW()</f>
        <v>46118.620961574074</v>
      </c>
      <c r="B3" s="2"/>
      <c r="C3" s="3"/>
      <c r="D3" s="2"/>
      <c r="E3" s="3"/>
      <c r="F3" s="2"/>
      <c r="G3" s="2"/>
      <c r="H3" s="2"/>
    </row>
    <row r="4" spans="1:8">
      <c r="A4" s="4" t="s">
        <v>2</v>
      </c>
      <c r="B4" s="2"/>
      <c r="C4" s="3"/>
      <c r="D4" s="2"/>
      <c r="E4" s="3"/>
      <c r="F4" s="2"/>
      <c r="G4" s="2"/>
      <c r="H4" s="2"/>
    </row>
    <row r="5" spans="1:8">
      <c r="A5" s="4" t="s">
        <v>3</v>
      </c>
      <c r="B5" s="2"/>
      <c r="C5" s="3"/>
      <c r="D5" s="2"/>
      <c r="E5" s="3"/>
      <c r="F5" s="2"/>
      <c r="G5" s="2"/>
      <c r="H5" s="2"/>
    </row>
    <row r="6" spans="1:8">
      <c r="A6" s="6" t="s">
        <v>4</v>
      </c>
      <c r="B6" s="6" t="s">
        <v>5</v>
      </c>
      <c r="C6" s="7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6" t="s">
        <v>11</v>
      </c>
    </row>
    <row r="7" spans="1:8">
      <c r="A7" s="8" t="str">
        <f ca="1">IFERROR(__xludf.DUMMYFUNCTION("FILTER(IMPORTRANGE(""https://docs.google.com/spreadsheets/d/1sJXqJAqoqS15wvfnSlYqAhIS5H8gfmcPrvi7oU2Wans/edit#gid=806267711"",""Sheet1!A:H""),INDEX(IMPORTRANGE(""https://docs.google.com/spreadsheets/d/1sJXqJAqoqS15wvfnSlYqAhIS5H8gfmcPrvi7oU2Wans/edit#gid="&amp;"806267711"",""Sheet1!A:H""),0,6)=""USD"")"),"AS-BASE-PV")</f>
        <v>AS-BASE-PV</v>
      </c>
      <c r="B7" s="8" t="str">
        <f ca="1">IFERROR(__xludf.DUMMYFUNCTION("""COMPUTED_VALUE"""),"Annual Plan AS-BASE-PV")</f>
        <v>Annual Plan AS-BASE-PV</v>
      </c>
      <c r="C7" s="9" t="str">
        <f ca="1">IFERROR(__xludf.DUMMYFUNCTION("""COMPUTED_VALUE"""),"Platform")</f>
        <v>Platform</v>
      </c>
      <c r="D7" s="8" t="str">
        <f ca="1">IFERROR(__xludf.DUMMYFUNCTION("""COMPUTED_VALUE"""),"Recurring")</f>
        <v>Recurring</v>
      </c>
      <c r="E7" s="9" t="str">
        <f ca="1">IFERROR(__xludf.DUMMYFUNCTION("""COMPUTED_VALUE"""),"Appspace Base Private Cloud Subscription. Provides cloud access to the base Appspace platform for use with compatible a la carte add-ons.")</f>
        <v>Appspace Base Private Cloud Subscription. Provides cloud access to the base Appspace platform for use with compatible a la carte add-ons.</v>
      </c>
      <c r="F7" s="10" t="str">
        <f ca="1">IFERROR(__xludf.DUMMYFUNCTION("""COMPUTED_VALUE"""),"USD")</f>
        <v>USD</v>
      </c>
      <c r="G7" s="10">
        <f ca="1">IFERROR(__xludf.DUMMYFUNCTION("""COMPUTED_VALUE"""),750)</f>
        <v>750</v>
      </c>
      <c r="H7" s="10">
        <f ca="1">IFERROR(__xludf.DUMMYFUNCTION("""COMPUTED_VALUE"""),9000)</f>
        <v>9000</v>
      </c>
    </row>
    <row r="8" spans="1:8">
      <c r="A8" s="8" t="str">
        <f ca="1">IFERROR(__xludf.DUMMYFUNCTION("""COMPUTED_VALUE"""),"AS-BW-GB")</f>
        <v>AS-BW-GB</v>
      </c>
      <c r="B8" s="8" t="str">
        <f ca="1">IFERROR(__xludf.DUMMYFUNCTION("""COMPUTED_VALUE"""),"Annual Plan AS-BW-GB")</f>
        <v>Annual Plan AS-BW-GB</v>
      </c>
      <c r="C8" s="9" t="str">
        <f ca="1">IFERROR(__xludf.DUMMYFUNCTION("""COMPUTED_VALUE"""),"Bandwidth")</f>
        <v>Bandwidth</v>
      </c>
      <c r="D8" s="8" t="str">
        <f ca="1">IFERROR(__xludf.DUMMYFUNCTION("""COMPUTED_VALUE"""),"Recurring")</f>
        <v>Recurring</v>
      </c>
      <c r="E8" s="9" t="str">
        <f ca="1">IFERROR(__xludf.DUMMYFUNCTION("""COMPUTED_VALUE"""),"Monthly bandwidth allocation (1 GB/month)")</f>
        <v>Monthly bandwidth allocation (1 GB/month)</v>
      </c>
      <c r="F8" s="10" t="str">
        <f ca="1">IFERROR(__xludf.DUMMYFUNCTION("""COMPUTED_VALUE"""),"USD")</f>
        <v>USD</v>
      </c>
      <c r="G8" s="10">
        <f ca="1">IFERROR(__xludf.DUMMYFUNCTION("""COMPUTED_VALUE"""),0.15)</f>
        <v>0.15</v>
      </c>
      <c r="H8" s="10">
        <f ca="1">IFERROR(__xludf.DUMMYFUNCTION("""COMPUTED_VALUE"""),1.8)</f>
        <v>1.8</v>
      </c>
    </row>
    <row r="9" spans="1:8">
      <c r="A9" s="8" t="str">
        <f ca="1">IFERROR(__xludf.DUMMYFUNCTION("""COMPUTED_VALUE"""),"AS-BW-GB-1000")</f>
        <v>AS-BW-GB-1000</v>
      </c>
      <c r="B9" s="8" t="str">
        <f ca="1">IFERROR(__xludf.DUMMYFUNCTION("""COMPUTED_VALUE"""),"Annual Plan AS-BW-GB-1000")</f>
        <v>Annual Plan AS-BW-GB-1000</v>
      </c>
      <c r="C9" s="9" t="str">
        <f ca="1">IFERROR(__xludf.DUMMYFUNCTION("""COMPUTED_VALUE"""),"Bandwidth")</f>
        <v>Bandwidth</v>
      </c>
      <c r="D9" s="8" t="str">
        <f ca="1">IFERROR(__xludf.DUMMYFUNCTION("""COMPUTED_VALUE"""),"Recurring")</f>
        <v>Recurring</v>
      </c>
      <c r="E9" s="9" t="str">
        <f ca="1">IFERROR(__xludf.DUMMYFUNCTION("""COMPUTED_VALUE"""),"Monthly bandwidth allocation (1,000 GB/month)")</f>
        <v>Monthly bandwidth allocation (1,000 GB/month)</v>
      </c>
      <c r="F9" s="10" t="str">
        <f ca="1">IFERROR(__xludf.DUMMYFUNCTION("""COMPUTED_VALUE"""),"USD")</f>
        <v>USD</v>
      </c>
      <c r="G9" s="10">
        <f ca="1">IFERROR(__xludf.DUMMYFUNCTION("""COMPUTED_VALUE"""),130)</f>
        <v>130</v>
      </c>
      <c r="H9" s="10">
        <f ca="1">IFERROR(__xludf.DUMMYFUNCTION("""COMPUTED_VALUE"""),1560)</f>
        <v>1560</v>
      </c>
    </row>
    <row r="10" spans="1:8">
      <c r="A10" s="8" t="str">
        <f ca="1">IFERROR(__xludf.DUMMYFUNCTION("""COMPUTED_VALUE"""),"AS-BW-GB-500")</f>
        <v>AS-BW-GB-500</v>
      </c>
      <c r="B10" s="8" t="str">
        <f ca="1">IFERROR(__xludf.DUMMYFUNCTION("""COMPUTED_VALUE"""),"Annual Plan AS-BW-GB-500")</f>
        <v>Annual Plan AS-BW-GB-500</v>
      </c>
      <c r="C10" s="9" t="str">
        <f ca="1">IFERROR(__xludf.DUMMYFUNCTION("""COMPUTED_VALUE"""),"Bandwidth")</f>
        <v>Bandwidth</v>
      </c>
      <c r="D10" s="8" t="str">
        <f ca="1">IFERROR(__xludf.DUMMYFUNCTION("""COMPUTED_VALUE"""),"Recurring")</f>
        <v>Recurring</v>
      </c>
      <c r="E10" s="9" t="str">
        <f ca="1">IFERROR(__xludf.DUMMYFUNCTION("""COMPUTED_VALUE"""),"Monthly bandwidth allocation (500 GB/month)")</f>
        <v>Monthly bandwidth allocation (500 GB/month)</v>
      </c>
      <c r="F10" s="10" t="str">
        <f ca="1">IFERROR(__xludf.DUMMYFUNCTION("""COMPUTED_VALUE"""),"USD")</f>
        <v>USD</v>
      </c>
      <c r="G10" s="10">
        <f ca="1">IFERROR(__xludf.DUMMYFUNCTION("""COMPUTED_VALUE"""),70)</f>
        <v>70</v>
      </c>
      <c r="H10" s="10">
        <f ca="1">IFERROR(__xludf.DUMMYFUNCTION("""COMPUTED_VALUE"""),840)</f>
        <v>840</v>
      </c>
    </row>
    <row r="11" spans="1:8">
      <c r="A11" s="8" t="str">
        <f ca="1">IFERROR(__xludf.DUMMYFUNCTION("""COMPUTED_VALUE"""),"AS-EXPRESS-B-CL")</f>
        <v>AS-EXPRESS-B-CL</v>
      </c>
      <c r="B11" s="8" t="str">
        <f ca="1">IFERROR(__xludf.DUMMYFUNCTION("""COMPUTED_VALUE"""),"Annual Plan AS-EXPRESS-B-CL")</f>
        <v>Annual Plan AS-EXPRESS-B-CL</v>
      </c>
      <c r="C11" s="9" t="str">
        <f ca="1">IFERROR(__xludf.DUMMYFUNCTION("""COMPUTED_VALUE"""),"Platform")</f>
        <v>Platform</v>
      </c>
      <c r="D11" s="8" t="str">
        <f ca="1">IFERROR(__xludf.DUMMYFUNCTION("""COMPUTED_VALUE"""),"Recurring")</f>
        <v>Recurring</v>
      </c>
      <c r="E11" s="9" t="str">
        <f ca="1">IFERROR(__xludf.DUMMYFUNCTION("""COMPUTED_VALUE"""),"Appspace Express Cloud Subscription. Appspace Cloud access to the Appspace Express features for 25 devices, Advanced Support, 25 GB cloud storage, and 25 GB/month cloud bandwidth.")</f>
        <v>Appspace Express Cloud Subscription. Appspace Cloud access to the Appspace Express features for 25 devices, Advanced Support, 25 GB cloud storage, and 25 GB/month cloud bandwidth.</v>
      </c>
      <c r="F11" s="10" t="str">
        <f ca="1">IFERROR(__xludf.DUMMYFUNCTION("""COMPUTED_VALUE"""),"USD")</f>
        <v>USD</v>
      </c>
      <c r="G11" s="10">
        <f ca="1">IFERROR(__xludf.DUMMYFUNCTION("""COMPUTED_VALUE"""),1110)</f>
        <v>1110</v>
      </c>
      <c r="H11" s="10">
        <f ca="1">IFERROR(__xludf.DUMMYFUNCTION("""COMPUTED_VALUE"""),13320)</f>
        <v>13320</v>
      </c>
    </row>
    <row r="12" spans="1:8">
      <c r="A12" s="8" t="str">
        <f ca="1">IFERROR(__xludf.DUMMYFUNCTION("""COMPUTED_VALUE"""),"AS-ID-DVC-B-CL-1")</f>
        <v>AS-ID-DVC-B-CL-1</v>
      </c>
      <c r="B12" s="8" t="str">
        <f ca="1">IFERROR(__xludf.DUMMYFUNCTION("""COMPUTED_VALUE"""),"Annual Plan AS-ID-DVC-B-CL-1")</f>
        <v>Annual Plan AS-ID-DVC-B-CL-1</v>
      </c>
      <c r="C12" s="9" t="str">
        <f ca="1">IFERROR(__xludf.DUMMYFUNCTION("""COMPUTED_VALUE"""),"Device ID")</f>
        <v>Device ID</v>
      </c>
      <c r="D12" s="8" t="str">
        <f ca="1">IFERROR(__xludf.DUMMYFUNCTION("""COMPUTED_VALUE"""),"Recurring")</f>
        <v>Recurring</v>
      </c>
      <c r="E12" s="9" t="str">
        <f ca="1">IFERROR(__xludf.DUMMYFUNCTION("""COMPUTED_VALUE"""),"Single additional Device ID (for use with an Express-B cloud subscription)")</f>
        <v>Single additional Device ID (for use with an Express-B cloud subscription)</v>
      </c>
      <c r="F12" s="10" t="str">
        <f ca="1">IFERROR(__xludf.DUMMYFUNCTION("""COMPUTED_VALUE"""),"USD")</f>
        <v>USD</v>
      </c>
      <c r="G12" s="10">
        <f ca="1">IFERROR(__xludf.DUMMYFUNCTION("""COMPUTED_VALUE"""),57)</f>
        <v>57</v>
      </c>
      <c r="H12" s="10">
        <f ca="1">IFERROR(__xludf.DUMMYFUNCTION("""COMPUTED_VALUE"""),684)</f>
        <v>684</v>
      </c>
    </row>
    <row r="13" spans="1:8">
      <c r="A13" s="8" t="str">
        <f ca="1">IFERROR(__xludf.DUMMYFUNCTION("""COMPUTED_VALUE"""),"AS-ID-DVC-CL-1")</f>
        <v>AS-ID-DVC-CL-1</v>
      </c>
      <c r="B13" s="8" t="str">
        <f ca="1">IFERROR(__xludf.DUMMYFUNCTION("""COMPUTED_VALUE"""),"Annual Plan AS-ID-DVC-CL-1")</f>
        <v>Annual Plan AS-ID-DVC-CL-1</v>
      </c>
      <c r="C13" s="9" t="str">
        <f ca="1">IFERROR(__xludf.DUMMYFUNCTION("""COMPUTED_VALUE"""),"Device ID")</f>
        <v>Device ID</v>
      </c>
      <c r="D13" s="8" t="str">
        <f ca="1">IFERROR(__xludf.DUMMYFUNCTION("""COMPUTED_VALUE"""),"Recurring")</f>
        <v>Recurring</v>
      </c>
      <c r="E13" s="9" t="str">
        <f ca="1">IFERROR(__xludf.DUMMYFUNCTION("""COMPUTED_VALUE"""),"Single additional Device ID (for use with a cloud subscription)")</f>
        <v>Single additional Device ID (for use with a cloud subscription)</v>
      </c>
      <c r="F13" s="10" t="str">
        <f ca="1">IFERROR(__xludf.DUMMYFUNCTION("""COMPUTED_VALUE"""),"USD")</f>
        <v>USD</v>
      </c>
      <c r="G13" s="8">
        <f ca="1">IFERROR(__xludf.DUMMYFUNCTION("""COMPUTED_VALUE"""),20.5)</f>
        <v>20.5</v>
      </c>
      <c r="H13" s="8">
        <f ca="1">IFERROR(__xludf.DUMMYFUNCTION("""COMPUTED_VALUE"""),246)</f>
        <v>246</v>
      </c>
    </row>
    <row r="14" spans="1:8">
      <c r="A14" s="8" t="str">
        <f ca="1">IFERROR(__xludf.DUMMYFUNCTION("""COMPUTED_VALUE"""),"AS-ID-DVC-F-CL-1")</f>
        <v>AS-ID-DVC-F-CL-1</v>
      </c>
      <c r="B14" s="8" t="str">
        <f ca="1">IFERROR(__xludf.DUMMYFUNCTION("""COMPUTED_VALUE"""),"Annual Plan AS-ID-DVC-F-CL-1")</f>
        <v>Annual Plan AS-ID-DVC-F-CL-1</v>
      </c>
      <c r="C14" s="9" t="str">
        <f ca="1">IFERROR(__xludf.DUMMYFUNCTION("""COMPUTED_VALUE"""),"Device ID")</f>
        <v>Device ID</v>
      </c>
      <c r="D14" s="8" t="str">
        <f ca="1">IFERROR(__xludf.DUMMYFUNCTION("""COMPUTED_VALUE"""),"Recurring")</f>
        <v>Recurring</v>
      </c>
      <c r="E14" s="9" t="str">
        <f ca="1">IFERROR(__xludf.DUMMYFUNCTION("""COMPUTED_VALUE"""),"Single additional Device ID (for use with an Omni-F cloud subscription)")</f>
        <v>Single additional Device ID (for use with an Omni-F cloud subscription)</v>
      </c>
      <c r="F14" s="10" t="str">
        <f ca="1">IFERROR(__xludf.DUMMYFUNCTION("""COMPUTED_VALUE"""),"USD")</f>
        <v>USD</v>
      </c>
      <c r="G14" s="8">
        <f ca="1">IFERROR(__xludf.DUMMYFUNCTION("""COMPUTED_VALUE"""),7.25)</f>
        <v>7.25</v>
      </c>
      <c r="H14" s="8">
        <f ca="1">IFERROR(__xludf.DUMMYFUNCTION("""COMPUTED_VALUE"""),87)</f>
        <v>87</v>
      </c>
    </row>
    <row r="15" spans="1:8">
      <c r="A15" s="8" t="str">
        <f ca="1">IFERROR(__xludf.DUMMYFUNCTION("""COMPUTED_VALUE"""),"AS-ID-DVC-F-OP-1")</f>
        <v>AS-ID-DVC-F-OP-1</v>
      </c>
      <c r="B15" s="8" t="str">
        <f ca="1">IFERROR(__xludf.DUMMYFUNCTION("""COMPUTED_VALUE"""),"Annual Plan AS-ID-DVC-F-OP-1")</f>
        <v>Annual Plan AS-ID-DVC-F-OP-1</v>
      </c>
      <c r="C15" s="9" t="str">
        <f ca="1">IFERROR(__xludf.DUMMYFUNCTION("""COMPUTED_VALUE"""),"Device ID")</f>
        <v>Device ID</v>
      </c>
      <c r="D15" s="8" t="str">
        <f ca="1">IFERROR(__xludf.DUMMYFUNCTION("""COMPUTED_VALUE"""),"Recurring")</f>
        <v>Recurring</v>
      </c>
      <c r="E15" s="9" t="str">
        <f ca="1">IFERROR(__xludf.DUMMYFUNCTION("""COMPUTED_VALUE"""),"Single additional Device ID (for use with an Omni-F on-prem subscription)")</f>
        <v>Single additional Device ID (for use with an Omni-F on-prem subscription)</v>
      </c>
      <c r="F15" s="10" t="str">
        <f ca="1">IFERROR(__xludf.DUMMYFUNCTION("""COMPUTED_VALUE"""),"USD")</f>
        <v>USD</v>
      </c>
      <c r="G15" s="10">
        <f ca="1">IFERROR(__xludf.DUMMYFUNCTION("""COMPUTED_VALUE"""),14.5)</f>
        <v>14.5</v>
      </c>
      <c r="H15" s="10">
        <f ca="1">IFERROR(__xludf.DUMMYFUNCTION("""COMPUTED_VALUE"""),174)</f>
        <v>174</v>
      </c>
    </row>
    <row r="16" spans="1:8">
      <c r="A16" s="8" t="str">
        <f ca="1">IFERROR(__xludf.DUMMYFUNCTION("""COMPUTED_VALUE"""),"AS-ID-DVC-F-PV-1")</f>
        <v>AS-ID-DVC-F-PV-1</v>
      </c>
      <c r="B16" s="8" t="str">
        <f ca="1">IFERROR(__xludf.DUMMYFUNCTION("""COMPUTED_VALUE"""),"Annual Plan AS-ID-DVC-F-PV-1")</f>
        <v>Annual Plan AS-ID-DVC-F-PV-1</v>
      </c>
      <c r="C16" s="9" t="str">
        <f ca="1">IFERROR(__xludf.DUMMYFUNCTION("""COMPUTED_VALUE"""),"Device ID")</f>
        <v>Device ID</v>
      </c>
      <c r="D16" s="8" t="str">
        <f ca="1">IFERROR(__xludf.DUMMYFUNCTION("""COMPUTED_VALUE"""),"Recurring")</f>
        <v>Recurring</v>
      </c>
      <c r="E16" s="9" t="str">
        <f ca="1">IFERROR(__xludf.DUMMYFUNCTION("""COMPUTED_VALUE"""),"Single additional Device ID (for use with an Omni-F private cloud subscription)")</f>
        <v>Single additional Device ID (for use with an Omni-F private cloud subscription)</v>
      </c>
      <c r="F16" s="10" t="str">
        <f ca="1">IFERROR(__xludf.DUMMYFUNCTION("""COMPUTED_VALUE"""),"USD")</f>
        <v>USD</v>
      </c>
      <c r="G16" s="10">
        <f ca="1">IFERROR(__xludf.DUMMYFUNCTION("""COMPUTED_VALUE"""),10.88)</f>
        <v>10.88</v>
      </c>
      <c r="H16" s="10">
        <f ca="1">IFERROR(__xludf.DUMMYFUNCTION("""COMPUTED_VALUE"""),130.56)</f>
        <v>130.56</v>
      </c>
    </row>
    <row r="17" spans="1:8">
      <c r="A17" s="8" t="str">
        <f ca="1">IFERROR(__xludf.DUMMYFUNCTION("""COMPUTED_VALUE"""),"AS-ID-DVC-OP-1")</f>
        <v>AS-ID-DVC-OP-1</v>
      </c>
      <c r="B17" s="8" t="str">
        <f ca="1">IFERROR(__xludf.DUMMYFUNCTION("""COMPUTED_VALUE"""),"Annual Plan AS-ID-DVC-OP-1")</f>
        <v>Annual Plan AS-ID-DVC-OP-1</v>
      </c>
      <c r="C17" s="9" t="str">
        <f ca="1">IFERROR(__xludf.DUMMYFUNCTION("""COMPUTED_VALUE"""),"Device ID")</f>
        <v>Device ID</v>
      </c>
      <c r="D17" s="8" t="str">
        <f ca="1">IFERROR(__xludf.DUMMYFUNCTION("""COMPUTED_VALUE"""),"Recurring")</f>
        <v>Recurring</v>
      </c>
      <c r="E17" s="9" t="str">
        <f ca="1">IFERROR(__xludf.DUMMYFUNCTION("""COMPUTED_VALUE"""),"Single additional Device ID (for use with an on-prem subscription)")</f>
        <v>Single additional Device ID (for use with an on-prem subscription)</v>
      </c>
      <c r="F17" s="10" t="str">
        <f ca="1">IFERROR(__xludf.DUMMYFUNCTION("""COMPUTED_VALUE"""),"USD")</f>
        <v>USD</v>
      </c>
      <c r="G17" s="10">
        <f ca="1">IFERROR(__xludf.DUMMYFUNCTION("""COMPUTED_VALUE"""),41)</f>
        <v>41</v>
      </c>
      <c r="H17" s="10">
        <f ca="1">IFERROR(__xludf.DUMMYFUNCTION("""COMPUTED_VALUE"""),492)</f>
        <v>492</v>
      </c>
    </row>
    <row r="18" spans="1:8">
      <c r="A18" s="8" t="str">
        <f ca="1">IFERROR(__xludf.DUMMYFUNCTION("""COMPUTED_VALUE"""),"AS-ID-DVC-PV-1")</f>
        <v>AS-ID-DVC-PV-1</v>
      </c>
      <c r="B18" s="8" t="str">
        <f ca="1">IFERROR(__xludf.DUMMYFUNCTION("""COMPUTED_VALUE"""),"Annual Plan AS-ID-DVC-PV-1")</f>
        <v>Annual Plan AS-ID-DVC-PV-1</v>
      </c>
      <c r="C18" s="9" t="str">
        <f ca="1">IFERROR(__xludf.DUMMYFUNCTION("""COMPUTED_VALUE"""),"Device ID")</f>
        <v>Device ID</v>
      </c>
      <c r="D18" s="8" t="str">
        <f ca="1">IFERROR(__xludf.DUMMYFUNCTION("""COMPUTED_VALUE"""),"Recurring")</f>
        <v>Recurring</v>
      </c>
      <c r="E18" s="9" t="str">
        <f ca="1">IFERROR(__xludf.DUMMYFUNCTION("""COMPUTED_VALUE"""),"Single additional Device ID (for use with a private cloud subscription)")</f>
        <v>Single additional Device ID (for use with a private cloud subscription)</v>
      </c>
      <c r="F18" s="10" t="str">
        <f ca="1">IFERROR(__xludf.DUMMYFUNCTION("""COMPUTED_VALUE"""),"USD")</f>
        <v>USD</v>
      </c>
      <c r="G18" s="10">
        <f ca="1">IFERROR(__xludf.DUMMYFUNCTION("""COMPUTED_VALUE"""),30.75)</f>
        <v>30.75</v>
      </c>
      <c r="H18" s="10">
        <f ca="1">IFERROR(__xludf.DUMMYFUNCTION("""COMPUTED_VALUE"""),369)</f>
        <v>369</v>
      </c>
    </row>
    <row r="19" spans="1:8">
      <c r="A19" s="8" t="str">
        <f ca="1">IFERROR(__xludf.DUMMYFUNCTION("""COMPUTED_VALUE"""),"AS-IG-AH-1UL")</f>
        <v>AS-IG-AH-1UL</v>
      </c>
      <c r="B19" s="8" t="str">
        <f ca="1">IFERROR(__xludf.DUMMYFUNCTION("""COMPUTED_VALUE"""),"Quarterly Plan AS-IG-AH-1UL")</f>
        <v>Quarterly Plan AS-IG-AH-1UL</v>
      </c>
      <c r="C19" s="9" t="str">
        <f ca="1">IFERROR(__xludf.DUMMYFUNCTION("""COMPUTED_VALUE"""),"Igloo License")</f>
        <v>Igloo License</v>
      </c>
      <c r="D19" s="8" t="str">
        <f ca="1">IFERROR(__xludf.DUMMYFUNCTION("""COMPUTED_VALUE"""),"Recurring")</f>
        <v>Recurring</v>
      </c>
      <c r="E19" s="9" t="str">
        <f ca="1">IFERROR(__xludf.DUMMYFUNCTION("""COMPUTED_VALUE"""),"Authorized User Licenses")</f>
        <v>Authorized User Licenses</v>
      </c>
      <c r="F19" s="10" t="str">
        <f ca="1">IFERROR(__xludf.DUMMYFUNCTION("""COMPUTED_VALUE"""),"USD")</f>
        <v>USD</v>
      </c>
      <c r="G19" s="10">
        <f ca="1">IFERROR(__xludf.DUMMYFUNCTION("""COMPUTED_VALUE"""),6)</f>
        <v>6</v>
      </c>
      <c r="H19" s="10">
        <f ca="1">IFERROR(__xludf.DUMMYFUNCTION("""COMPUTED_VALUE"""),72)</f>
        <v>72</v>
      </c>
    </row>
    <row r="20" spans="1:8">
      <c r="A20" s="8" t="str">
        <f ca="1">IFERROR(__xludf.DUMMYFUNCTION("""COMPUTED_VALUE"""),"AS-IG-AH-1UL")</f>
        <v>AS-IG-AH-1UL</v>
      </c>
      <c r="B20" s="8" t="str">
        <f ca="1">IFERROR(__xludf.DUMMYFUNCTION("""COMPUTED_VALUE"""),"Annual Plan AS-IG-AH-1UL")</f>
        <v>Annual Plan AS-IG-AH-1UL</v>
      </c>
      <c r="C20" s="9" t="str">
        <f ca="1">IFERROR(__xludf.DUMMYFUNCTION("""COMPUTED_VALUE"""),"Igloo License")</f>
        <v>Igloo License</v>
      </c>
      <c r="D20" s="8" t="str">
        <f ca="1">IFERROR(__xludf.DUMMYFUNCTION("""COMPUTED_VALUE"""),"Recurring")</f>
        <v>Recurring</v>
      </c>
      <c r="E20" s="9" t="str">
        <f ca="1">IFERROR(__xludf.DUMMYFUNCTION("""COMPUTED_VALUE"""),"Authorized User Licenses")</f>
        <v>Authorized User Licenses</v>
      </c>
      <c r="F20" s="8" t="str">
        <f ca="1">IFERROR(__xludf.DUMMYFUNCTION("""COMPUTED_VALUE"""),"USD")</f>
        <v>USD</v>
      </c>
      <c r="G20" s="10">
        <f ca="1">IFERROR(__xludf.DUMMYFUNCTION("""COMPUTED_VALUE"""),6)</f>
        <v>6</v>
      </c>
      <c r="H20" s="10">
        <f ca="1">IFERROR(__xludf.DUMMYFUNCTION("""COMPUTED_VALUE"""),72)</f>
        <v>72</v>
      </c>
    </row>
    <row r="21" spans="1:8">
      <c r="A21" s="8" t="str">
        <f ca="1">IFERROR(__xludf.DUMMYFUNCTION("""COMPUTED_VALUE"""),"AS-IG-AH-1UL")</f>
        <v>AS-IG-AH-1UL</v>
      </c>
      <c r="B21" s="8" t="str">
        <f ca="1">IFERROR(__xludf.DUMMYFUNCTION("""COMPUTED_VALUE"""),"Monthly Plan AS-IG-AH-1UL")</f>
        <v>Monthly Plan AS-IG-AH-1UL</v>
      </c>
      <c r="C21" s="9" t="str">
        <f ca="1">IFERROR(__xludf.DUMMYFUNCTION("""COMPUTED_VALUE"""),"Igloo License")</f>
        <v>Igloo License</v>
      </c>
      <c r="D21" s="8" t="str">
        <f ca="1">IFERROR(__xludf.DUMMYFUNCTION("""COMPUTED_VALUE"""),"Recurring")</f>
        <v>Recurring</v>
      </c>
      <c r="E21" s="9" t="str">
        <f ca="1">IFERROR(__xludf.DUMMYFUNCTION("""COMPUTED_VALUE"""),"Authorized User Licenses")</f>
        <v>Authorized User Licenses</v>
      </c>
      <c r="F21" s="10" t="str">
        <f ca="1">IFERROR(__xludf.DUMMYFUNCTION("""COMPUTED_VALUE"""),"USD")</f>
        <v>USD</v>
      </c>
      <c r="G21" s="10">
        <f ca="1">IFERROR(__xludf.DUMMYFUNCTION("""COMPUTED_VALUE"""),6)</f>
        <v>6</v>
      </c>
      <c r="H21" s="10">
        <f ca="1">IFERROR(__xludf.DUMMYFUNCTION("""COMPUTED_VALUE"""),72)</f>
        <v>72</v>
      </c>
    </row>
    <row r="22" spans="1:8">
      <c r="A22" s="8" t="str">
        <f ca="1">IFERROR(__xludf.DUMMYFUNCTION("""COMPUTED_VALUE"""),"AS-IG-AO-B-BHAS")</f>
        <v>AS-IG-AO-B-BHAS</v>
      </c>
      <c r="B22" s="8" t="str">
        <f ca="1">IFERROR(__xludf.DUMMYFUNCTION("""COMPUTED_VALUE"""),"Quarterly Plan AS-IG-AO-B-BHAS")</f>
        <v>Quarterly Plan AS-IG-AO-B-BHAS</v>
      </c>
      <c r="C22" s="9" t="str">
        <f ca="1">IFERROR(__xludf.DUMMYFUNCTION("""COMPUTED_VALUE"""),"Basic Hub and Spoke")</f>
        <v>Basic Hub and Spoke</v>
      </c>
      <c r="D22" s="8" t="str">
        <f ca="1">IFERROR(__xludf.DUMMYFUNCTION("""COMPUTED_VALUE"""),"Recurring")</f>
        <v>Recurring</v>
      </c>
      <c r="E22" s="9" t="str">
        <f ca="1">IFERROR(__xludf.DUMMYFUNCTION("""COMPUTED_VALUE"""),"Basic Hub and Spoke Architecture")</f>
        <v>Basic Hub and Spoke Architecture</v>
      </c>
      <c r="F22" s="10" t="str">
        <f ca="1">IFERROR(__xludf.DUMMYFUNCTION("""COMPUTED_VALUE"""),"USD")</f>
        <v>USD</v>
      </c>
      <c r="G22" s="10">
        <f ca="1">IFERROR(__xludf.DUMMYFUNCTION("""COMPUTED_VALUE"""),2083.33)</f>
        <v>2083.33</v>
      </c>
      <c r="H22" s="10">
        <f ca="1">IFERROR(__xludf.DUMMYFUNCTION("""COMPUTED_VALUE"""),24999.96)</f>
        <v>24999.96</v>
      </c>
    </row>
    <row r="23" spans="1:8">
      <c r="A23" s="8" t="str">
        <f ca="1">IFERROR(__xludf.DUMMYFUNCTION("""COMPUTED_VALUE"""),"AS-IG-AO-B-HHAS")</f>
        <v>AS-IG-AO-B-HHAS</v>
      </c>
      <c r="B23" s="8" t="str">
        <f ca="1">IFERROR(__xludf.DUMMYFUNCTION("""COMPUTED_VALUE"""),"Quarterly Plan AS-IG-AO-B-HHAS")</f>
        <v>Quarterly Plan AS-IG-AO-B-HHAS</v>
      </c>
      <c r="C23" s="9" t="str">
        <f ca="1">IFERROR(__xludf.DUMMYFUNCTION("""COMPUTED_VALUE"""),"Networked Enterprise")</f>
        <v>Networked Enterprise</v>
      </c>
      <c r="D23" s="8" t="str">
        <f ca="1">IFERROR(__xludf.DUMMYFUNCTION("""COMPUTED_VALUE"""),"Recurring")</f>
        <v>Recurring</v>
      </c>
      <c r="E23" s="9" t="str">
        <f ca="1">IFERROR(__xludf.DUMMYFUNCTION("""COMPUTED_VALUE"""),"Networked Enterprise")</f>
        <v>Networked Enterprise</v>
      </c>
      <c r="F23" s="10" t="str">
        <f ca="1">IFERROR(__xludf.DUMMYFUNCTION("""COMPUTED_VALUE"""),"USD")</f>
        <v>USD</v>
      </c>
      <c r="G23" s="10">
        <f ca="1">IFERROR(__xludf.DUMMYFUNCTION("""COMPUTED_VALUE"""),150000)</f>
        <v>150000</v>
      </c>
      <c r="H23" s="10">
        <f ca="1">IFERROR(__xludf.DUMMYFUNCTION("""COMPUTED_VALUE"""),1800000)</f>
        <v>1800000</v>
      </c>
    </row>
    <row r="24" spans="1:8">
      <c r="A24" s="8" t="str">
        <f ca="1">IFERROR(__xludf.DUMMYFUNCTION("""COMPUTED_VALUE"""),"AS-IG-AO-B-HHAS")</f>
        <v>AS-IG-AO-B-HHAS</v>
      </c>
      <c r="B24" s="8" t="str">
        <f ca="1">IFERROR(__xludf.DUMMYFUNCTION("""COMPUTED_VALUE"""),"Annual Plan AS-IG-AO-B-HHAS")</f>
        <v>Annual Plan AS-IG-AO-B-HHAS</v>
      </c>
      <c r="C24" s="9" t="str">
        <f ca="1">IFERROR(__xludf.DUMMYFUNCTION("""COMPUTED_VALUE"""),"Networked Enterprise")</f>
        <v>Networked Enterprise</v>
      </c>
      <c r="D24" s="8" t="str">
        <f ca="1">IFERROR(__xludf.DUMMYFUNCTION("""COMPUTED_VALUE"""),"Recurring")</f>
        <v>Recurring</v>
      </c>
      <c r="E24" s="9" t="str">
        <f ca="1">IFERROR(__xludf.DUMMYFUNCTION("""COMPUTED_VALUE"""),"Networked Enterprise")</f>
        <v>Networked Enterprise</v>
      </c>
      <c r="F24" s="10" t="str">
        <f ca="1">IFERROR(__xludf.DUMMYFUNCTION("""COMPUTED_VALUE"""),"USD")</f>
        <v>USD</v>
      </c>
      <c r="G24" s="10">
        <f ca="1">IFERROR(__xludf.DUMMYFUNCTION("""COMPUTED_VALUE"""),150000)</f>
        <v>150000</v>
      </c>
      <c r="H24" s="10">
        <f ca="1">IFERROR(__xludf.DUMMYFUNCTION("""COMPUTED_VALUE"""),1800000)</f>
        <v>1800000</v>
      </c>
    </row>
    <row r="25" spans="1:8">
      <c r="A25" s="8" t="str">
        <f ca="1">IFERROR(__xludf.DUMMYFUNCTION("""COMPUTED_VALUE"""),"AS-IG-AO-B-HHASA")</f>
        <v>AS-IG-AO-B-HHASA</v>
      </c>
      <c r="B25" s="8" t="str">
        <f ca="1">IFERROR(__xludf.DUMMYFUNCTION("""COMPUTED_VALUE"""),"Quarterly Plan AS-IG-AO-B-HHASA")</f>
        <v>Quarterly Plan AS-IG-AO-B-HHASA</v>
      </c>
      <c r="C25" s="9" t="str">
        <f ca="1">IFERROR(__xludf.DUMMYFUNCTION("""COMPUTED_VALUE"""),"Additional Spokes")</f>
        <v>Additional Spokes</v>
      </c>
      <c r="D25" s="8" t="str">
        <f ca="1">IFERROR(__xludf.DUMMYFUNCTION("""COMPUTED_VALUE"""),"Recurring")</f>
        <v>Recurring</v>
      </c>
      <c r="E25" s="9" t="str">
        <f ca="1">IFERROR(__xludf.DUMMYFUNCTION("""COMPUTED_VALUE"""),"Hub and Spoke - Additional Spokes")</f>
        <v>Hub and Spoke - Additional Spokes</v>
      </c>
      <c r="F25" s="10" t="str">
        <f ca="1">IFERROR(__xludf.DUMMYFUNCTION("""COMPUTED_VALUE"""),"USD")</f>
        <v>USD</v>
      </c>
      <c r="G25" s="10">
        <f ca="1">IFERROR(__xludf.DUMMYFUNCTION("""COMPUTED_VALUE"""),5000)</f>
        <v>5000</v>
      </c>
      <c r="H25" s="10">
        <f ca="1">IFERROR(__xludf.DUMMYFUNCTION("""COMPUTED_VALUE"""),60000)</f>
        <v>60000</v>
      </c>
    </row>
    <row r="26" spans="1:8">
      <c r="A26" s="8" t="str">
        <f ca="1">IFERROR(__xludf.DUMMYFUNCTION("""COMPUTED_VALUE"""),"AS-IG-AO-B-HHASA")</f>
        <v>AS-IG-AO-B-HHASA</v>
      </c>
      <c r="B26" s="8" t="str">
        <f ca="1">IFERROR(__xludf.DUMMYFUNCTION("""COMPUTED_VALUE"""),"Annual Plan AS-IG-AO-B-HHASA")</f>
        <v>Annual Plan AS-IG-AO-B-HHASA</v>
      </c>
      <c r="C26" s="9" t="str">
        <f ca="1">IFERROR(__xludf.DUMMYFUNCTION("""COMPUTED_VALUE"""),"Additional Spokes")</f>
        <v>Additional Spokes</v>
      </c>
      <c r="D26" s="8" t="str">
        <f ca="1">IFERROR(__xludf.DUMMYFUNCTION("""COMPUTED_VALUE"""),"Recurring")</f>
        <v>Recurring</v>
      </c>
      <c r="E26" s="9" t="str">
        <f ca="1">IFERROR(__xludf.DUMMYFUNCTION("""COMPUTED_VALUE"""),"Hub and Spoke - Additional Spokes")</f>
        <v>Hub and Spoke - Additional Spokes</v>
      </c>
      <c r="F26" s="10" t="str">
        <f ca="1">IFERROR(__xludf.DUMMYFUNCTION("""COMPUTED_VALUE"""),"USD")</f>
        <v>USD</v>
      </c>
      <c r="G26" s="10">
        <f ca="1">IFERROR(__xludf.DUMMYFUNCTION("""COMPUTED_VALUE"""),5000)</f>
        <v>5000</v>
      </c>
      <c r="H26" s="10">
        <f ca="1">IFERROR(__xludf.DUMMYFUNCTION("""COMPUTED_VALUE"""),60000)</f>
        <v>60000</v>
      </c>
    </row>
    <row r="27" spans="1:8">
      <c r="A27" s="8" t="str">
        <f ca="1">IFERROR(__xludf.DUMMYFUNCTION("""COMPUTED_VALUE"""),"AS-IG-AO-B-HIPAA")</f>
        <v>AS-IG-AO-B-HIPAA</v>
      </c>
      <c r="B27" s="8" t="str">
        <f ca="1">IFERROR(__xludf.DUMMYFUNCTION("""COMPUTED_VALUE"""),"Quarterly Plan AS-IG-AO-B-HIPAA")</f>
        <v>Quarterly Plan AS-IG-AO-B-HIPAA</v>
      </c>
      <c r="C27" s="9" t="str">
        <f ca="1">IFERROR(__xludf.DUMMYFUNCTION("""COMPUTED_VALUE"""),"Security HIPAA")</f>
        <v>Security HIPAA</v>
      </c>
      <c r="D27" s="8" t="str">
        <f ca="1">IFERROR(__xludf.DUMMYFUNCTION("""COMPUTED_VALUE"""),"Recurring")</f>
        <v>Recurring</v>
      </c>
      <c r="E27" s="9" t="str">
        <f ca="1">IFERROR(__xludf.DUMMYFUNCTION("""COMPUTED_VALUE"""),"HIPAA Security Package")</f>
        <v>HIPAA Security Package</v>
      </c>
      <c r="F27" s="10" t="str">
        <f ca="1">IFERROR(__xludf.DUMMYFUNCTION("""COMPUTED_VALUE"""),"USD")</f>
        <v>USD</v>
      </c>
      <c r="G27" s="10">
        <f ca="1">IFERROR(__xludf.DUMMYFUNCTION("""COMPUTED_VALUE"""),833.33)</f>
        <v>833.33</v>
      </c>
      <c r="H27" s="10">
        <f ca="1">IFERROR(__xludf.DUMMYFUNCTION("""COMPUTED_VALUE"""),9999.96)</f>
        <v>9999.9599999999991</v>
      </c>
    </row>
    <row r="28" spans="1:8">
      <c r="A28" s="8" t="str">
        <f ca="1">IFERROR(__xludf.DUMMYFUNCTION("""COMPUTED_VALUE"""),"AS-IG-AO-B-HIPAA")</f>
        <v>AS-IG-AO-B-HIPAA</v>
      </c>
      <c r="B28" s="8" t="str">
        <f ca="1">IFERROR(__xludf.DUMMYFUNCTION("""COMPUTED_VALUE"""),"Annual Plan AS-IG-AO-B-HIPAA")</f>
        <v>Annual Plan AS-IG-AO-B-HIPAA</v>
      </c>
      <c r="C28" s="9" t="str">
        <f ca="1">IFERROR(__xludf.DUMMYFUNCTION("""COMPUTED_VALUE"""),"Security HIPAA")</f>
        <v>Security HIPAA</v>
      </c>
      <c r="D28" s="8" t="str">
        <f ca="1">IFERROR(__xludf.DUMMYFUNCTION("""COMPUTED_VALUE"""),"Recurring")</f>
        <v>Recurring</v>
      </c>
      <c r="E28" s="9" t="str">
        <f ca="1">IFERROR(__xludf.DUMMYFUNCTION("""COMPUTED_VALUE"""),"HIPAA Security Package")</f>
        <v>HIPAA Security Package</v>
      </c>
      <c r="F28" s="10" t="str">
        <f ca="1">IFERROR(__xludf.DUMMYFUNCTION("""COMPUTED_VALUE"""),"USD")</f>
        <v>USD</v>
      </c>
      <c r="G28" s="10">
        <f ca="1">IFERROR(__xludf.DUMMYFUNCTION("""COMPUTED_VALUE"""),833.33)</f>
        <v>833.33</v>
      </c>
      <c r="H28" s="10">
        <f ca="1">IFERROR(__xludf.DUMMYFUNCTION("""COMPUTED_VALUE"""),9999.96)</f>
        <v>9999.9599999999991</v>
      </c>
    </row>
    <row r="29" spans="1:8">
      <c r="A29" s="8" t="str">
        <f ca="1">IFERROR(__xludf.DUMMYFUNCTION("""COMPUTED_VALUE"""),"AS-IG-AO-B-HSTSS")</f>
        <v>AS-IG-AO-B-HSTSS</v>
      </c>
      <c r="B29" s="8" t="str">
        <f ca="1">IFERROR(__xludf.DUMMYFUNCTION("""COMPUTED_VALUE"""),"Quarterly Plan AS-IG-AO-B-HSTSS")</f>
        <v>Quarterly Plan AS-IG-AO-B-HSTSS</v>
      </c>
      <c r="C29" s="9" t="str">
        <f ca="1">IFERROR(__xludf.DUMMYFUNCTION("""COMPUTED_VALUE"""),"Single Tenant - Shared Services")</f>
        <v>Single Tenant - Shared Services</v>
      </c>
      <c r="D29" s="8" t="str">
        <f ca="1">IFERROR(__xludf.DUMMYFUNCTION("""COMPUTED_VALUE"""),"Recurring")</f>
        <v>Recurring</v>
      </c>
      <c r="E29" s="9" t="str">
        <f ca="1">IFERROR(__xludf.DUMMYFUNCTION("""COMPUTED_VALUE"""),"Single Tenant with Shared Services")</f>
        <v>Single Tenant with Shared Services</v>
      </c>
      <c r="F29" s="10" t="str">
        <f ca="1">IFERROR(__xludf.DUMMYFUNCTION("""COMPUTED_VALUE"""),"USD")</f>
        <v>USD</v>
      </c>
      <c r="G29" s="8">
        <f ca="1">IFERROR(__xludf.DUMMYFUNCTION("""COMPUTED_VALUE"""),75000)</f>
        <v>75000</v>
      </c>
      <c r="H29" s="10">
        <f ca="1">IFERROR(__xludf.DUMMYFUNCTION("""COMPUTED_VALUE"""),900000)</f>
        <v>900000</v>
      </c>
    </row>
    <row r="30" spans="1:8">
      <c r="A30" s="8" t="str">
        <f ca="1">IFERROR(__xludf.DUMMYFUNCTION("""COMPUTED_VALUE"""),"AS-IG-AO-B-HSTSS")</f>
        <v>AS-IG-AO-B-HSTSS</v>
      </c>
      <c r="B30" s="8" t="str">
        <f ca="1">IFERROR(__xludf.DUMMYFUNCTION("""COMPUTED_VALUE"""),"Annual Plan AS-IG-AO-B-HSTSS")</f>
        <v>Annual Plan AS-IG-AO-B-HSTSS</v>
      </c>
      <c r="C30" s="9" t="str">
        <f ca="1">IFERROR(__xludf.DUMMYFUNCTION("""COMPUTED_VALUE"""),"Single Tenant - Shared Services")</f>
        <v>Single Tenant - Shared Services</v>
      </c>
      <c r="D30" s="8" t="str">
        <f ca="1">IFERROR(__xludf.DUMMYFUNCTION("""COMPUTED_VALUE"""),"Recurring")</f>
        <v>Recurring</v>
      </c>
      <c r="E30" s="9" t="str">
        <f ca="1">IFERROR(__xludf.DUMMYFUNCTION("""COMPUTED_VALUE"""),"Single Tenant with Shared Services")</f>
        <v>Single Tenant with Shared Services</v>
      </c>
      <c r="F30" s="10" t="str">
        <f ca="1">IFERROR(__xludf.DUMMYFUNCTION("""COMPUTED_VALUE"""),"USD")</f>
        <v>USD</v>
      </c>
      <c r="G30" s="8">
        <f ca="1">IFERROR(__xludf.DUMMYFUNCTION("""COMPUTED_VALUE"""),75000)</f>
        <v>75000</v>
      </c>
      <c r="H30" s="10">
        <f ca="1">IFERROR(__xludf.DUMMYFUNCTION("""COMPUTED_VALUE"""),900000)</f>
        <v>900000</v>
      </c>
    </row>
    <row r="31" spans="1:8">
      <c r="A31" s="8" t="str">
        <f ca="1">IFERROR(__xludf.DUMMYFUNCTION("""COMPUTED_VALUE"""),"AS-IG-AO-B-SSSTS")</f>
        <v>AS-IG-AO-B-SSSTS</v>
      </c>
      <c r="B31" s="8" t="str">
        <f ca="1">IFERROR(__xludf.DUMMYFUNCTION("""COMPUTED_VALUE"""),"Quarterly Plan AS-IG-AO-B-SSSTS")</f>
        <v>Quarterly Plan AS-IG-AO-B-SSSTS</v>
      </c>
      <c r="C31" s="9" t="str">
        <f ca="1">IFERROR(__xludf.DUMMYFUNCTION("""COMPUTED_VALUE"""),"Shared SST Site")</f>
        <v>Shared SST Site</v>
      </c>
      <c r="D31" s="8" t="str">
        <f ca="1">IFERROR(__xludf.DUMMYFUNCTION("""COMPUTED_VALUE"""),"Recurring")</f>
        <v>Recurring</v>
      </c>
      <c r="E31" s="9" t="str">
        <f ca="1">IFERROR(__xludf.DUMMYFUNCTION("""COMPUTED_VALUE"""),"Shared SST Site")</f>
        <v>Shared SST Site</v>
      </c>
      <c r="F31" s="10" t="str">
        <f ca="1">IFERROR(__xludf.DUMMYFUNCTION("""COMPUTED_VALUE"""),"USD")</f>
        <v>USD</v>
      </c>
      <c r="G31" s="10">
        <f ca="1">IFERROR(__xludf.DUMMYFUNCTION("""COMPUTED_VALUE"""),15000)</f>
        <v>15000</v>
      </c>
      <c r="H31" s="10">
        <f ca="1">IFERROR(__xludf.DUMMYFUNCTION("""COMPUTED_VALUE"""),180000)</f>
        <v>180000</v>
      </c>
    </row>
    <row r="32" spans="1:8">
      <c r="A32" s="8" t="str">
        <f ca="1">IFERROR(__xludf.DUMMYFUNCTION("""COMPUTED_VALUE"""),"AS-IG-AO-B-SSSTS")</f>
        <v>AS-IG-AO-B-SSSTS</v>
      </c>
      <c r="B32" s="8" t="str">
        <f ca="1">IFERROR(__xludf.DUMMYFUNCTION("""COMPUTED_VALUE"""),"Annual Plan AS-IG-AO-B-SSSTS")</f>
        <v>Annual Plan AS-IG-AO-B-SSSTS</v>
      </c>
      <c r="C32" s="9" t="str">
        <f ca="1">IFERROR(__xludf.DUMMYFUNCTION("""COMPUTED_VALUE"""),"Shared SST Site")</f>
        <v>Shared SST Site</v>
      </c>
      <c r="D32" s="8" t="str">
        <f ca="1">IFERROR(__xludf.DUMMYFUNCTION("""COMPUTED_VALUE"""),"Recurring")</f>
        <v>Recurring</v>
      </c>
      <c r="E32" s="9" t="str">
        <f ca="1">IFERROR(__xludf.DUMMYFUNCTION("""COMPUTED_VALUE"""),"Shared SST Site")</f>
        <v>Shared SST Site</v>
      </c>
      <c r="F32" s="10" t="str">
        <f ca="1">IFERROR(__xludf.DUMMYFUNCTION("""COMPUTED_VALUE"""),"USD")</f>
        <v>USD</v>
      </c>
      <c r="G32" s="10">
        <f ca="1">IFERROR(__xludf.DUMMYFUNCTION("""COMPUTED_VALUE"""),15000)</f>
        <v>15000</v>
      </c>
      <c r="H32" s="10">
        <f ca="1">IFERROR(__xludf.DUMMYFUNCTION("""COMPUTED_VALUE"""),180000)</f>
        <v>180000</v>
      </c>
    </row>
    <row r="33" spans="1:8">
      <c r="A33" s="8" t="str">
        <f ca="1">IFERROR(__xludf.DUMMYFUNCTION("""COMPUTED_VALUE"""),"AS-IG-AO-CIP")</f>
        <v>AS-IG-AO-CIP</v>
      </c>
      <c r="B33" s="8" t="str">
        <f ca="1">IFERROR(__xludf.DUMMYFUNCTION("""COMPUTED_VALUE"""),"Annual Plan AS-IG-AO-CIP")</f>
        <v>Annual Plan AS-IG-AO-CIP</v>
      </c>
      <c r="C33" s="9" t="str">
        <f ca="1">IFERROR(__xludf.DUMMYFUNCTION("""COMPUTED_VALUE"""),"Continuous Improvement Program")</f>
        <v>Continuous Improvement Program</v>
      </c>
      <c r="D33" s="8" t="str">
        <f ca="1">IFERROR(__xludf.DUMMYFUNCTION("""COMPUTED_VALUE"""),"Recurring")</f>
        <v>Recurring</v>
      </c>
      <c r="E33" s="9" t="str">
        <f ca="1">IFERROR(__xludf.DUMMYFUNCTION("""COMPUTED_VALUE"""),"Continuous Improvement Program")</f>
        <v>Continuous Improvement Program</v>
      </c>
      <c r="F33" s="10" t="str">
        <f ca="1">IFERROR(__xludf.DUMMYFUNCTION("""COMPUTED_VALUE"""),"USD")</f>
        <v>USD</v>
      </c>
      <c r="G33" s="10">
        <f ca="1">IFERROR(__xludf.DUMMYFUNCTION("""COMPUTED_VALUE"""),416.67)</f>
        <v>416.67</v>
      </c>
      <c r="H33" s="10">
        <f ca="1">IFERROR(__xludf.DUMMYFUNCTION("""COMPUTED_VALUE"""),5000.04)</f>
        <v>5000.04</v>
      </c>
    </row>
    <row r="34" spans="1:8">
      <c r="A34" s="8" t="str">
        <f ca="1">IFERROR(__xludf.DUMMYFUNCTION("""COMPUTED_VALUE"""),"AS-IG-AO-CIP")</f>
        <v>AS-IG-AO-CIP</v>
      </c>
      <c r="B34" s="8" t="str">
        <f ca="1">IFERROR(__xludf.DUMMYFUNCTION("""COMPUTED_VALUE"""),"Quarterly Plan AS-IG-AO-CIP")</f>
        <v>Quarterly Plan AS-IG-AO-CIP</v>
      </c>
      <c r="C34" s="9" t="str">
        <f ca="1">IFERROR(__xludf.DUMMYFUNCTION("""COMPUTED_VALUE"""),"Continuous Improvement Program")</f>
        <v>Continuous Improvement Program</v>
      </c>
      <c r="D34" s="8" t="str">
        <f ca="1">IFERROR(__xludf.DUMMYFUNCTION("""COMPUTED_VALUE"""),"Recurring")</f>
        <v>Recurring</v>
      </c>
      <c r="E34" s="9" t="str">
        <f ca="1">IFERROR(__xludf.DUMMYFUNCTION("""COMPUTED_VALUE"""),"Continuous Improvement Program")</f>
        <v>Continuous Improvement Program</v>
      </c>
      <c r="F34" s="10" t="str">
        <f ca="1">IFERROR(__xludf.DUMMYFUNCTION("""COMPUTED_VALUE"""),"USD")</f>
        <v>USD</v>
      </c>
      <c r="G34" s="10">
        <f ca="1">IFERROR(__xludf.DUMMYFUNCTION("""COMPUTED_VALUE"""),416.67)</f>
        <v>416.67</v>
      </c>
      <c r="H34" s="10">
        <f ca="1">IFERROR(__xludf.DUMMYFUNCTION("""COMPUTED_VALUE"""),5000.04)</f>
        <v>5000.04</v>
      </c>
    </row>
    <row r="35" spans="1:8">
      <c r="A35" s="8" t="str">
        <f ca="1">IFERROR(__xludf.DUMMYFUNCTION("""COMPUTED_VALUE"""),"AS-IG-AO-CS-TAM-E")</f>
        <v>AS-IG-AO-CS-TAM-E</v>
      </c>
      <c r="B35" s="8" t="str">
        <f ca="1">IFERROR(__xludf.DUMMYFUNCTION("""COMPUTED_VALUE"""),"Annual Plan AS-IG-AO-CS-TAM-E")</f>
        <v>Annual Plan AS-IG-AO-CS-TAM-E</v>
      </c>
      <c r="C35" s="9" t="str">
        <f ca="1">IFERROR(__xludf.DUMMYFUNCTION("""COMPUTED_VALUE"""),"TAM Enterprise")</f>
        <v>TAM Enterprise</v>
      </c>
      <c r="D35" s="8" t="str">
        <f ca="1">IFERROR(__xludf.DUMMYFUNCTION("""COMPUTED_VALUE"""),"Recurring")</f>
        <v>Recurring</v>
      </c>
      <c r="E35" s="9" t="str">
        <f ca="1">IFERROR(__xludf.DUMMYFUNCTION("""COMPUTED_VALUE"""),"Technical Account Manager - Enterprise")</f>
        <v>Technical Account Manager - Enterprise</v>
      </c>
      <c r="F35" s="10" t="str">
        <f ca="1">IFERROR(__xludf.DUMMYFUNCTION("""COMPUTED_VALUE"""),"USD")</f>
        <v>USD</v>
      </c>
      <c r="G35" s="10">
        <f ca="1">IFERROR(__xludf.DUMMYFUNCTION("""COMPUTED_VALUE"""),3333.33)</f>
        <v>3333.33</v>
      </c>
      <c r="H35" s="10">
        <f ca="1">IFERROR(__xludf.DUMMYFUNCTION("""COMPUTED_VALUE"""),39999.96)</f>
        <v>39999.96</v>
      </c>
    </row>
    <row r="36" spans="1:8">
      <c r="A36" s="8" t="str">
        <f ca="1">IFERROR(__xludf.DUMMYFUNCTION("""COMPUTED_VALUE"""),"AS-IG-AO-CS-TAM-E")</f>
        <v>AS-IG-AO-CS-TAM-E</v>
      </c>
      <c r="B36" s="8" t="str">
        <f ca="1">IFERROR(__xludf.DUMMYFUNCTION("""COMPUTED_VALUE"""),"Quarterly Plan AS-IG-AO-CS-TAM-E")</f>
        <v>Quarterly Plan AS-IG-AO-CS-TAM-E</v>
      </c>
      <c r="C36" s="9" t="str">
        <f ca="1">IFERROR(__xludf.DUMMYFUNCTION("""COMPUTED_VALUE"""),"TAM Enterprise")</f>
        <v>TAM Enterprise</v>
      </c>
      <c r="D36" s="8" t="str">
        <f ca="1">IFERROR(__xludf.DUMMYFUNCTION("""COMPUTED_VALUE"""),"Recurring")</f>
        <v>Recurring</v>
      </c>
      <c r="E36" s="9" t="str">
        <f ca="1">IFERROR(__xludf.DUMMYFUNCTION("""COMPUTED_VALUE"""),"Technical Account Manager - Enterprise")</f>
        <v>Technical Account Manager - Enterprise</v>
      </c>
      <c r="F36" s="10" t="str">
        <f ca="1">IFERROR(__xludf.DUMMYFUNCTION("""COMPUTED_VALUE"""),"USD")</f>
        <v>USD</v>
      </c>
      <c r="G36" s="10">
        <f ca="1">IFERROR(__xludf.DUMMYFUNCTION("""COMPUTED_VALUE"""),3333.33)</f>
        <v>3333.33</v>
      </c>
      <c r="H36" s="10">
        <f ca="1">IFERROR(__xludf.DUMMYFUNCTION("""COMPUTED_VALUE"""),39999.96)</f>
        <v>39999.96</v>
      </c>
    </row>
    <row r="37" spans="1:8">
      <c r="A37" s="8" t="str">
        <f ca="1">IFERROR(__xludf.DUMMYFUNCTION("""COMPUTED_VALUE"""),"AS-IG-AO-CS-TAMP")</f>
        <v>AS-IG-AO-CS-TAMP</v>
      </c>
      <c r="B37" s="8" t="str">
        <f ca="1">IFERROR(__xludf.DUMMYFUNCTION("""COMPUTED_VALUE"""),"Annual Plan AS-IG-AO-CS-TAMP")</f>
        <v>Annual Plan AS-IG-AO-CS-TAMP</v>
      </c>
      <c r="C37" s="9" t="str">
        <f ca="1">IFERROR(__xludf.DUMMYFUNCTION("""COMPUTED_VALUE"""),"TAM Professional")</f>
        <v>TAM Professional</v>
      </c>
      <c r="D37" s="8" t="str">
        <f ca="1">IFERROR(__xludf.DUMMYFUNCTION("""COMPUTED_VALUE"""),"Recurring")</f>
        <v>Recurring</v>
      </c>
      <c r="E37" s="9" t="str">
        <f ca="1">IFERROR(__xludf.DUMMYFUNCTION("""COMPUTED_VALUE"""),"Technical Account Manager (TAM) - Professional")</f>
        <v>Technical Account Manager (TAM) - Professional</v>
      </c>
      <c r="F37" s="10" t="str">
        <f ca="1">IFERROR(__xludf.DUMMYFUNCTION("""COMPUTED_VALUE"""),"USD")</f>
        <v>USD</v>
      </c>
      <c r="G37" s="10">
        <f ca="1">IFERROR(__xludf.DUMMYFUNCTION("""COMPUTED_VALUE"""),1666.67)</f>
        <v>1666.67</v>
      </c>
      <c r="H37" s="10">
        <f ca="1">IFERROR(__xludf.DUMMYFUNCTION("""COMPUTED_VALUE"""),20000.04)</f>
        <v>20000.04</v>
      </c>
    </row>
    <row r="38" spans="1:8">
      <c r="A38" s="8" t="str">
        <f ca="1">IFERROR(__xludf.DUMMYFUNCTION("""COMPUTED_VALUE"""),"AS-IG-AO-CS-TAMP")</f>
        <v>AS-IG-AO-CS-TAMP</v>
      </c>
      <c r="B38" s="8" t="str">
        <f ca="1">IFERROR(__xludf.DUMMYFUNCTION("""COMPUTED_VALUE"""),"Quarterly Plan AS-IG-AO-CS-TAMP")</f>
        <v>Quarterly Plan AS-IG-AO-CS-TAMP</v>
      </c>
      <c r="C38" s="9" t="str">
        <f ca="1">IFERROR(__xludf.DUMMYFUNCTION("""COMPUTED_VALUE"""),"TAM Professional")</f>
        <v>TAM Professional</v>
      </c>
      <c r="D38" s="8" t="str">
        <f ca="1">IFERROR(__xludf.DUMMYFUNCTION("""COMPUTED_VALUE"""),"Recurring")</f>
        <v>Recurring</v>
      </c>
      <c r="E38" s="9" t="str">
        <f ca="1">IFERROR(__xludf.DUMMYFUNCTION("""COMPUTED_VALUE"""),"Technical Account Manager (TAM) - Professional")</f>
        <v>Technical Account Manager (TAM) - Professional</v>
      </c>
      <c r="F38" s="10" t="str">
        <f ca="1">IFERROR(__xludf.DUMMYFUNCTION("""COMPUTED_VALUE"""),"USD")</f>
        <v>USD</v>
      </c>
      <c r="G38" s="10">
        <f ca="1">IFERROR(__xludf.DUMMYFUNCTION("""COMPUTED_VALUE"""),1666.67)</f>
        <v>1666.67</v>
      </c>
      <c r="H38" s="10">
        <f ca="1">IFERROR(__xludf.DUMMYFUNCTION("""COMPUTED_VALUE"""),20000.04)</f>
        <v>20000.04</v>
      </c>
    </row>
    <row r="39" spans="1:8">
      <c r="A39" s="8" t="str">
        <f ca="1">IFERROR(__xludf.DUMMYFUNCTION("""COMPUTED_VALUE"""),"AS-IG-AO-GAD-DEP")</f>
        <v>AS-IG-AO-GAD-DEP</v>
      </c>
      <c r="B39" s="8" t="str">
        <f ca="1">IFERROR(__xludf.DUMMYFUNCTION("""COMPUTED_VALUE"""),"Quarterly Plan AS-IG-AO-GAD-DEP")</f>
        <v>Quarterly Plan AS-IG-AO-GAD-DEP</v>
      </c>
      <c r="C39" s="9" t="str">
        <f ca="1">IFERROR(__xludf.DUMMYFUNCTION("""COMPUTED_VALUE"""),"Gadget Depot")</f>
        <v>Gadget Depot</v>
      </c>
      <c r="D39" s="8" t="str">
        <f ca="1">IFERROR(__xludf.DUMMYFUNCTION("""COMPUTED_VALUE"""),"Recurring")</f>
        <v>Recurring</v>
      </c>
      <c r="E39" s="9" t="str">
        <f ca="1">IFERROR(__xludf.DUMMYFUNCTION("""COMPUTED_VALUE"""),"Gadget Depot")</f>
        <v>Gadget Depot</v>
      </c>
      <c r="F39" s="10" t="str">
        <f ca="1">IFERROR(__xludf.DUMMYFUNCTION("""COMPUTED_VALUE"""),"USD")</f>
        <v>USD</v>
      </c>
      <c r="G39" s="10">
        <f ca="1">IFERROR(__xludf.DUMMYFUNCTION("""COMPUTED_VALUE"""),5000)</f>
        <v>5000</v>
      </c>
      <c r="H39" s="10">
        <f ca="1">IFERROR(__xludf.DUMMYFUNCTION("""COMPUTED_VALUE"""),60000)</f>
        <v>60000</v>
      </c>
    </row>
    <row r="40" spans="1:8">
      <c r="A40" s="8" t="str">
        <f ca="1">IFERROR(__xludf.DUMMYFUNCTION("""COMPUTED_VALUE"""),"AS-IG-AO-GAD-DEP")</f>
        <v>AS-IG-AO-GAD-DEP</v>
      </c>
      <c r="B40" s="8" t="str">
        <f ca="1">IFERROR(__xludf.DUMMYFUNCTION("""COMPUTED_VALUE"""),"Annual Plan AS-IG-AO-GAD-DEP")</f>
        <v>Annual Plan AS-IG-AO-GAD-DEP</v>
      </c>
      <c r="C40" s="9" t="str">
        <f ca="1">IFERROR(__xludf.DUMMYFUNCTION("""COMPUTED_VALUE"""),"Gadget Depot")</f>
        <v>Gadget Depot</v>
      </c>
      <c r="D40" s="8" t="str">
        <f ca="1">IFERROR(__xludf.DUMMYFUNCTION("""COMPUTED_VALUE"""),"Recurring")</f>
        <v>Recurring</v>
      </c>
      <c r="E40" s="9" t="str">
        <f ca="1">IFERROR(__xludf.DUMMYFUNCTION("""COMPUTED_VALUE"""),"Gadget Depot")</f>
        <v>Gadget Depot</v>
      </c>
      <c r="F40" s="10" t="str">
        <f ca="1">IFERROR(__xludf.DUMMYFUNCTION("""COMPUTED_VALUE"""),"USD")</f>
        <v>USD</v>
      </c>
      <c r="G40" s="10">
        <f ca="1">IFERROR(__xludf.DUMMYFUNCTION("""COMPUTED_VALUE"""),5000)</f>
        <v>5000</v>
      </c>
      <c r="H40" s="10">
        <f ca="1">IFERROR(__xludf.DUMMYFUNCTION("""COMPUTED_VALUE"""),60000)</f>
        <v>60000</v>
      </c>
    </row>
    <row r="41" spans="1:8">
      <c r="A41" s="8" t="str">
        <f ca="1">IFERROR(__xludf.DUMMYFUNCTION("""COMPUTED_VALUE"""),"AS-IG-AO-GROUP-SPACES-500")</f>
        <v>AS-IG-AO-GROUP-SPACES-500</v>
      </c>
      <c r="B41" s="8" t="str">
        <f ca="1">IFERROR(__xludf.DUMMYFUNCTION("""COMPUTED_VALUE"""),"Annual Plan AS-IG-AO-GROUP-SPACES-500")</f>
        <v>Annual Plan AS-IG-AO-GROUP-SPACES-500</v>
      </c>
      <c r="C41" s="9" t="str">
        <f ca="1">IFERROR(__xludf.DUMMYFUNCTION("""COMPUTED_VALUE"""),"Additional Spaces (500)")</f>
        <v>Additional Spaces (500)</v>
      </c>
      <c r="D41" s="8" t="str">
        <f ca="1">IFERROR(__xludf.DUMMYFUNCTION("""COMPUTED_VALUE"""),"Recurring")</f>
        <v>Recurring</v>
      </c>
      <c r="E41" s="9" t="str">
        <f ca="1">IFERROR(__xludf.DUMMYFUNCTION("""COMPUTED_VALUE"""),"Additional Spaces - 500 Bundle")</f>
        <v>Additional Spaces - 500 Bundle</v>
      </c>
      <c r="F41" s="10" t="str">
        <f ca="1">IFERROR(__xludf.DUMMYFUNCTION("""COMPUTED_VALUE"""),"USD")</f>
        <v>USD</v>
      </c>
      <c r="G41" s="10">
        <f ca="1">IFERROR(__xludf.DUMMYFUNCTION("""COMPUTED_VALUE"""),250)</f>
        <v>250</v>
      </c>
      <c r="H41" s="10">
        <f ca="1">IFERROR(__xludf.DUMMYFUNCTION("""COMPUTED_VALUE"""),3000)</f>
        <v>3000</v>
      </c>
    </row>
    <row r="42" spans="1:8">
      <c r="A42" s="8" t="str">
        <f ca="1">IFERROR(__xludf.DUMMYFUNCTION("""COMPUTED_VALUE"""),"AS-IG-AO-GROUP-SPACES-500")</f>
        <v>AS-IG-AO-GROUP-SPACES-500</v>
      </c>
      <c r="B42" s="8" t="str">
        <f ca="1">IFERROR(__xludf.DUMMYFUNCTION("""COMPUTED_VALUE"""),"Quarterly Plan AS-IG-AO-GROUP-SPACES-500")</f>
        <v>Quarterly Plan AS-IG-AO-GROUP-SPACES-500</v>
      </c>
      <c r="C42" s="9" t="str">
        <f ca="1">IFERROR(__xludf.DUMMYFUNCTION("""COMPUTED_VALUE"""),"Additional Spaces (500)")</f>
        <v>Additional Spaces (500)</v>
      </c>
      <c r="D42" s="8" t="str">
        <f ca="1">IFERROR(__xludf.DUMMYFUNCTION("""COMPUTED_VALUE"""),"Recurring")</f>
        <v>Recurring</v>
      </c>
      <c r="E42" s="9" t="str">
        <f ca="1">IFERROR(__xludf.DUMMYFUNCTION("""COMPUTED_VALUE"""),"Additional Spaces - 500 Bundle")</f>
        <v>Additional Spaces - 500 Bundle</v>
      </c>
      <c r="F42" s="8" t="str">
        <f ca="1">IFERROR(__xludf.DUMMYFUNCTION("""COMPUTED_VALUE"""),"USD")</f>
        <v>USD</v>
      </c>
      <c r="G42" s="10">
        <f ca="1">IFERROR(__xludf.DUMMYFUNCTION("""COMPUTED_VALUE"""),250)</f>
        <v>250</v>
      </c>
      <c r="H42" s="10">
        <f ca="1">IFERROR(__xludf.DUMMYFUNCTION("""COMPUTED_VALUE"""),3000)</f>
        <v>3000</v>
      </c>
    </row>
    <row r="43" spans="1:8">
      <c r="A43" s="8" t="str">
        <f ca="1">IFERROR(__xludf.DUMMYFUNCTION("""COMPUTED_VALUE"""),"AS-IG-AO-IDA-BP")</f>
        <v>AS-IG-AO-IDA-BP</v>
      </c>
      <c r="B43" s="8" t="str">
        <f ca="1">IFERROR(__xludf.DUMMYFUNCTION("""COMPUTED_VALUE"""),"Quarterly Plan AS-IG-AO-IDA-BP")</f>
        <v>Quarterly Plan AS-IG-AO-IDA-BP</v>
      </c>
      <c r="C43" s="9" t="str">
        <f ca="1">IFERROR(__xludf.DUMMYFUNCTION("""COMPUTED_VALUE"""),"IDA Base")</f>
        <v>IDA Base</v>
      </c>
      <c r="D43" s="8" t="str">
        <f ca="1">IFERROR(__xludf.DUMMYFUNCTION("""COMPUTED_VALUE"""),"Recurring")</f>
        <v>Recurring</v>
      </c>
      <c r="E43" s="9" t="str">
        <f ca="1">IFERROR(__xludf.DUMMYFUNCTION("""COMPUTED_VALUE"""),"Igloo Igloo Digital Assistant - Base Package")</f>
        <v>Igloo Igloo Digital Assistant - Base Package</v>
      </c>
      <c r="F43" s="10" t="str">
        <f ca="1">IFERROR(__xludf.DUMMYFUNCTION("""COMPUTED_VALUE"""),"USD")</f>
        <v>USD</v>
      </c>
      <c r="G43" s="10">
        <f ca="1">IFERROR(__xludf.DUMMYFUNCTION("""COMPUTED_VALUE"""),0.5)</f>
        <v>0.5</v>
      </c>
      <c r="H43" s="10">
        <f ca="1">IFERROR(__xludf.DUMMYFUNCTION("""COMPUTED_VALUE"""),6)</f>
        <v>6</v>
      </c>
    </row>
    <row r="44" spans="1:8">
      <c r="A44" s="8" t="str">
        <f ca="1">IFERROR(__xludf.DUMMYFUNCTION("""COMPUTED_VALUE"""),"AS-IG-AO-IDA-BP")</f>
        <v>AS-IG-AO-IDA-BP</v>
      </c>
      <c r="B44" s="8" t="str">
        <f ca="1">IFERROR(__xludf.DUMMYFUNCTION("""COMPUTED_VALUE"""),"Annual Plan AS-IG-AO-IDA-BP")</f>
        <v>Annual Plan AS-IG-AO-IDA-BP</v>
      </c>
      <c r="C44" s="9" t="str">
        <f ca="1">IFERROR(__xludf.DUMMYFUNCTION("""COMPUTED_VALUE"""),"IDA Base")</f>
        <v>IDA Base</v>
      </c>
      <c r="D44" s="8" t="str">
        <f ca="1">IFERROR(__xludf.DUMMYFUNCTION("""COMPUTED_VALUE"""),"Recurring")</f>
        <v>Recurring</v>
      </c>
      <c r="E44" s="9" t="str">
        <f ca="1">IFERROR(__xludf.DUMMYFUNCTION("""COMPUTED_VALUE"""),"Igloo Igloo Digital Assistant - Base Package")</f>
        <v>Igloo Igloo Digital Assistant - Base Package</v>
      </c>
      <c r="F44" s="10" t="str">
        <f ca="1">IFERROR(__xludf.DUMMYFUNCTION("""COMPUTED_VALUE"""),"USD")</f>
        <v>USD</v>
      </c>
      <c r="G44" s="10">
        <f ca="1">IFERROR(__xludf.DUMMYFUNCTION("""COMPUTED_VALUE"""),0.5)</f>
        <v>0.5</v>
      </c>
      <c r="H44" s="10">
        <f ca="1">IFERROR(__xludf.DUMMYFUNCTION("""COMPUTED_VALUE"""),6)</f>
        <v>6</v>
      </c>
    </row>
    <row r="45" spans="1:8">
      <c r="A45" s="8" t="str">
        <f ca="1">IFERROR(__xludf.DUMMYFUNCTION("""COMPUTED_VALUE"""),"AS-IG-AO-IDA-FL-HRIS")</f>
        <v>AS-IG-AO-IDA-FL-HRIS</v>
      </c>
      <c r="B45" s="8" t="str">
        <f ca="1">IFERROR(__xludf.DUMMYFUNCTION("""COMPUTED_VALUE"""),"Quarterly Plan AS-IG-AO-IDA-FL-HRIS")</f>
        <v>Quarterly Plan AS-IG-AO-IDA-FL-HRIS</v>
      </c>
      <c r="C45" s="9" t="str">
        <f ca="1">IFERROR(__xludf.DUMMYFUNCTION("""COMPUTED_VALUE"""),"Flex IDA HRIS")</f>
        <v>Flex IDA HRIS</v>
      </c>
      <c r="D45" s="8" t="str">
        <f ca="1">IFERROR(__xludf.DUMMYFUNCTION("""COMPUTED_VALUE"""),"Recurring")</f>
        <v>Recurring</v>
      </c>
      <c r="E45" s="9" t="str">
        <f ca="1">IFERROR(__xludf.DUMMYFUNCTION("""COMPUTED_VALUE"""),"Igloo Flex Digital Assistant - HRIS Package")</f>
        <v>Igloo Flex Digital Assistant - HRIS Package</v>
      </c>
      <c r="F45" s="10" t="str">
        <f ca="1">IFERROR(__xludf.DUMMYFUNCTION("""COMPUTED_VALUE"""),"USD")</f>
        <v>USD</v>
      </c>
      <c r="G45" s="8">
        <f ca="1">IFERROR(__xludf.DUMMYFUNCTION("""COMPUTED_VALUE"""),0.73)</f>
        <v>0.73</v>
      </c>
      <c r="H45" s="10">
        <f ca="1">IFERROR(__xludf.DUMMYFUNCTION("""COMPUTED_VALUE"""),8.76)</f>
        <v>8.76</v>
      </c>
    </row>
    <row r="46" spans="1:8">
      <c r="A46" s="8" t="str">
        <f ca="1">IFERROR(__xludf.DUMMYFUNCTION("""COMPUTED_VALUE"""),"AS-IG-AO-IDA-FL-HRIS")</f>
        <v>AS-IG-AO-IDA-FL-HRIS</v>
      </c>
      <c r="B46" s="8" t="str">
        <f ca="1">IFERROR(__xludf.DUMMYFUNCTION("""COMPUTED_VALUE"""),"Annual Plan AS-IG-AO-IDA-FL-HRIS")</f>
        <v>Annual Plan AS-IG-AO-IDA-FL-HRIS</v>
      </c>
      <c r="C46" s="9" t="str">
        <f ca="1">IFERROR(__xludf.DUMMYFUNCTION("""COMPUTED_VALUE"""),"Flex IDA HRIS")</f>
        <v>Flex IDA HRIS</v>
      </c>
      <c r="D46" s="8" t="str">
        <f ca="1">IFERROR(__xludf.DUMMYFUNCTION("""COMPUTED_VALUE"""),"Recurring")</f>
        <v>Recurring</v>
      </c>
      <c r="E46" s="9" t="str">
        <f ca="1">IFERROR(__xludf.DUMMYFUNCTION("""COMPUTED_VALUE"""),"Igloo Flex Digital Assistant - HRIS Package")</f>
        <v>Igloo Flex Digital Assistant - HRIS Package</v>
      </c>
      <c r="F46" s="10" t="str">
        <f ca="1">IFERROR(__xludf.DUMMYFUNCTION("""COMPUTED_VALUE"""),"USD")</f>
        <v>USD</v>
      </c>
      <c r="G46" s="8">
        <f ca="1">IFERROR(__xludf.DUMMYFUNCTION("""COMPUTED_VALUE"""),0.73)</f>
        <v>0.73</v>
      </c>
      <c r="H46" s="10">
        <f ca="1">IFERROR(__xludf.DUMMYFUNCTION("""COMPUTED_VALUE"""),8.76)</f>
        <v>8.76</v>
      </c>
    </row>
    <row r="47" spans="1:8">
      <c r="A47" s="8" t="str">
        <f ca="1">IFERROR(__xludf.DUMMYFUNCTION("""COMPUTED_VALUE"""),"AS-IG-AO-IDA-HRIS")</f>
        <v>AS-IG-AO-IDA-HRIS</v>
      </c>
      <c r="B47" s="8" t="str">
        <f ca="1">IFERROR(__xludf.DUMMYFUNCTION("""COMPUTED_VALUE"""),"Annual Plan AS-IG-AO-IDA-HRIS")</f>
        <v>Annual Plan AS-IG-AO-IDA-HRIS</v>
      </c>
      <c r="C47" s="9" t="str">
        <f ca="1">IFERROR(__xludf.DUMMYFUNCTION("""COMPUTED_VALUE"""),"IDA HRIS")</f>
        <v>IDA HRIS</v>
      </c>
      <c r="D47" s="8" t="str">
        <f ca="1">IFERROR(__xludf.DUMMYFUNCTION("""COMPUTED_VALUE"""),"Recurring")</f>
        <v>Recurring</v>
      </c>
      <c r="E47" s="9" t="str">
        <f ca="1">IFERROR(__xludf.DUMMYFUNCTION("""COMPUTED_VALUE"""),"Igloo Igloo Digital Assistant - HRIS Package")</f>
        <v>Igloo Igloo Digital Assistant - HRIS Package</v>
      </c>
      <c r="F47" s="10" t="str">
        <f ca="1">IFERROR(__xludf.DUMMYFUNCTION("""COMPUTED_VALUE"""),"USD")</f>
        <v>USD</v>
      </c>
      <c r="G47" s="10">
        <f ca="1">IFERROR(__xludf.DUMMYFUNCTION("""COMPUTED_VALUE"""),0.08)</f>
        <v>0.08</v>
      </c>
      <c r="H47" s="10">
        <f ca="1">IFERROR(__xludf.DUMMYFUNCTION("""COMPUTED_VALUE"""),0.96)</f>
        <v>0.96</v>
      </c>
    </row>
    <row r="48" spans="1:8">
      <c r="A48" s="8" t="str">
        <f ca="1">IFERROR(__xludf.DUMMYFUNCTION("""COMPUTED_VALUE"""),"AS-IG-AO-IDA-HRIS")</f>
        <v>AS-IG-AO-IDA-HRIS</v>
      </c>
      <c r="B48" s="8" t="str">
        <f ca="1">IFERROR(__xludf.DUMMYFUNCTION("""COMPUTED_VALUE"""),"Quarterly Plan AS-IG-AO-IDA-HRIS")</f>
        <v>Quarterly Plan AS-IG-AO-IDA-HRIS</v>
      </c>
      <c r="C48" s="9" t="str">
        <f ca="1">IFERROR(__xludf.DUMMYFUNCTION("""COMPUTED_VALUE"""),"IDA HRIS")</f>
        <v>IDA HRIS</v>
      </c>
      <c r="D48" s="8" t="str">
        <f ca="1">IFERROR(__xludf.DUMMYFUNCTION("""COMPUTED_VALUE"""),"Recurring")</f>
        <v>Recurring</v>
      </c>
      <c r="E48" s="9" t="str">
        <f ca="1">IFERROR(__xludf.DUMMYFUNCTION("""COMPUTED_VALUE"""),"Igloo Igloo Digital Assistant - HRIS Package")</f>
        <v>Igloo Igloo Digital Assistant - HRIS Package</v>
      </c>
      <c r="F48" s="10" t="str">
        <f ca="1">IFERROR(__xludf.DUMMYFUNCTION("""COMPUTED_VALUE"""),"USD")</f>
        <v>USD</v>
      </c>
      <c r="G48" s="10">
        <f ca="1">IFERROR(__xludf.DUMMYFUNCTION("""COMPUTED_VALUE"""),0.08)</f>
        <v>0.08</v>
      </c>
      <c r="H48" s="10">
        <f ca="1">IFERROR(__xludf.DUMMYFUNCTION("""COMPUTED_VALUE"""),0.96)</f>
        <v>0.96</v>
      </c>
    </row>
    <row r="49" spans="1:8">
      <c r="A49" s="8" t="str">
        <f ca="1">IFERROR(__xludf.DUMMYFUNCTION("""COMPUTED_VALUE"""),"AS-IG-AO-IDS-SL-CM")</f>
        <v>AS-IG-AO-IDS-SL-CM</v>
      </c>
      <c r="B49" s="8" t="str">
        <f ca="1">IFERROR(__xludf.DUMMYFUNCTION("""COMPUTED_VALUE"""),"Quarterly Plan AS-IG-AO-IDS-SL-CM")</f>
        <v>Quarterly Plan AS-IG-AO-IDS-SL-CM</v>
      </c>
      <c r="C49" s="9" t="str">
        <f ca="1">IFERROR(__xludf.DUMMYFUNCTION("""COMPUTED_VALUE"""),"IDS Content Manager")</f>
        <v>IDS Content Manager</v>
      </c>
      <c r="D49" s="8" t="str">
        <f ca="1">IFERROR(__xludf.DUMMYFUNCTION("""COMPUTED_VALUE"""),"Recurring")</f>
        <v>Recurring</v>
      </c>
      <c r="E49" s="9" t="str">
        <f ca="1">IFERROR(__xludf.DUMMYFUNCTION("""COMPUTED_VALUE"""),"Igloo Digital Signage Software License Content Manager")</f>
        <v>Igloo Digital Signage Software License Content Manager</v>
      </c>
      <c r="F49" s="10" t="str">
        <f ca="1">IFERROR(__xludf.DUMMYFUNCTION("""COMPUTED_VALUE"""),"USD")</f>
        <v>USD</v>
      </c>
      <c r="G49" s="10">
        <f ca="1">IFERROR(__xludf.DUMMYFUNCTION("""COMPUTED_VALUE"""),1000)</f>
        <v>1000</v>
      </c>
      <c r="H49" s="10">
        <f ca="1">IFERROR(__xludf.DUMMYFUNCTION("""COMPUTED_VALUE"""),12000)</f>
        <v>12000</v>
      </c>
    </row>
    <row r="50" spans="1:8">
      <c r="A50" s="8" t="str">
        <f ca="1">IFERROR(__xludf.DUMMYFUNCTION("""COMPUTED_VALUE"""),"AS-IG-AO-IDS-SL-CM")</f>
        <v>AS-IG-AO-IDS-SL-CM</v>
      </c>
      <c r="B50" s="8" t="str">
        <f ca="1">IFERROR(__xludf.DUMMYFUNCTION("""COMPUTED_VALUE"""),"Annual Plan AS-IG-AO-IDS-SL-CM")</f>
        <v>Annual Plan AS-IG-AO-IDS-SL-CM</v>
      </c>
      <c r="C50" s="9" t="str">
        <f ca="1">IFERROR(__xludf.DUMMYFUNCTION("""COMPUTED_VALUE"""),"IDS Content Manager")</f>
        <v>IDS Content Manager</v>
      </c>
      <c r="D50" s="8" t="str">
        <f ca="1">IFERROR(__xludf.DUMMYFUNCTION("""COMPUTED_VALUE"""),"Recurring")</f>
        <v>Recurring</v>
      </c>
      <c r="E50" s="9" t="str">
        <f ca="1">IFERROR(__xludf.DUMMYFUNCTION("""COMPUTED_VALUE"""),"Igloo Digital Signage Software License Content Manager")</f>
        <v>Igloo Digital Signage Software License Content Manager</v>
      </c>
      <c r="F50" s="10" t="str">
        <f ca="1">IFERROR(__xludf.DUMMYFUNCTION("""COMPUTED_VALUE"""),"USD")</f>
        <v>USD</v>
      </c>
      <c r="G50" s="10">
        <f ca="1">IFERROR(__xludf.DUMMYFUNCTION("""COMPUTED_VALUE"""),1000)</f>
        <v>1000</v>
      </c>
      <c r="H50" s="10">
        <f ca="1">IFERROR(__xludf.DUMMYFUNCTION("""COMPUTED_VALUE"""),12000)</f>
        <v>12000</v>
      </c>
    </row>
    <row r="51" spans="1:8">
      <c r="A51" s="8" t="str">
        <f ca="1">IFERROR(__xludf.DUMMYFUNCTION("""COMPUTED_VALUE"""),"AS-IG-AO-IDS-SLF-CM")</f>
        <v>AS-IG-AO-IDS-SLF-CM</v>
      </c>
      <c r="B51" s="8" t="str">
        <f ca="1">IFERROR(__xludf.DUMMYFUNCTION("""COMPUTED_VALUE"""),"Quarterly Plan AS-IG-AO-IDS-SLF-CM")</f>
        <v>Quarterly Plan AS-IG-AO-IDS-SLF-CM</v>
      </c>
      <c r="C51" s="9" t="str">
        <f ca="1">IFERROR(__xludf.DUMMYFUNCTION("""COMPUTED_VALUE"""),"Flex IDS Content Manager")</f>
        <v>Flex IDS Content Manager</v>
      </c>
      <c r="D51" s="8" t="str">
        <f ca="1">IFERROR(__xludf.DUMMYFUNCTION("""COMPUTED_VALUE"""),"Recurring")</f>
        <v>Recurring</v>
      </c>
      <c r="E51" s="9" t="str">
        <f ca="1">IFERROR(__xludf.DUMMYFUNCTION("""COMPUTED_VALUE"""),"Igloo Flex Digital Signage Software License Content Manager")</f>
        <v>Igloo Flex Digital Signage Software License Content Manager</v>
      </c>
      <c r="F51" s="10" t="str">
        <f ca="1">IFERROR(__xludf.DUMMYFUNCTION("""COMPUTED_VALUE"""),"USD")</f>
        <v>USD</v>
      </c>
      <c r="G51" s="10">
        <f ca="1">IFERROR(__xludf.DUMMYFUNCTION("""COMPUTED_VALUE"""),83.33)</f>
        <v>83.33</v>
      </c>
      <c r="H51" s="10">
        <f ca="1">IFERROR(__xludf.DUMMYFUNCTION("""COMPUTED_VALUE"""),999.96)</f>
        <v>999.96</v>
      </c>
    </row>
    <row r="52" spans="1:8">
      <c r="A52" s="8" t="str">
        <f ca="1">IFERROR(__xludf.DUMMYFUNCTION("""COMPUTED_VALUE"""),"AS-IG-AO-IDS-SLF-CM")</f>
        <v>AS-IG-AO-IDS-SLF-CM</v>
      </c>
      <c r="B52" s="8" t="str">
        <f ca="1">IFERROR(__xludf.DUMMYFUNCTION("""COMPUTED_VALUE"""),"Annual Plan AS-IG-AO-IDS-SLF-CM")</f>
        <v>Annual Plan AS-IG-AO-IDS-SLF-CM</v>
      </c>
      <c r="C52" s="9" t="str">
        <f ca="1">IFERROR(__xludf.DUMMYFUNCTION("""COMPUTED_VALUE"""),"Flex IDS Content Manager")</f>
        <v>Flex IDS Content Manager</v>
      </c>
      <c r="D52" s="8" t="str">
        <f ca="1">IFERROR(__xludf.DUMMYFUNCTION("""COMPUTED_VALUE"""),"Recurring")</f>
        <v>Recurring</v>
      </c>
      <c r="E52" s="9" t="str">
        <f ca="1">IFERROR(__xludf.DUMMYFUNCTION("""COMPUTED_VALUE"""),"Igloo Flex Digital Signage Software License Content Manager")</f>
        <v>Igloo Flex Digital Signage Software License Content Manager</v>
      </c>
      <c r="F52" s="10" t="str">
        <f ca="1">IFERROR(__xludf.DUMMYFUNCTION("""COMPUTED_VALUE"""),"USD")</f>
        <v>USD</v>
      </c>
      <c r="G52" s="10">
        <f ca="1">IFERROR(__xludf.DUMMYFUNCTION("""COMPUTED_VALUE"""),83.33)</f>
        <v>83.33</v>
      </c>
      <c r="H52" s="10">
        <f ca="1">IFERROR(__xludf.DUMMYFUNCTION("""COMPUTED_VALUE"""),999.96)</f>
        <v>999.96</v>
      </c>
    </row>
    <row r="53" spans="1:8">
      <c r="A53" s="8" t="str">
        <f ca="1">IFERROR(__xludf.DUMMYFUNCTION("""COMPUTED_VALUE"""),"AS-IG-AO-IDS-SLF-SPO")</f>
        <v>AS-IG-AO-IDS-SLF-SPO</v>
      </c>
      <c r="B53" s="8" t="str">
        <f ca="1">IFERROR(__xludf.DUMMYFUNCTION("""COMPUTED_VALUE"""),"Annual Plan AS-IG-AO-IDS-SLF-SPO")</f>
        <v>Annual Plan AS-IG-AO-IDS-SLF-SPO</v>
      </c>
      <c r="C53" s="9" t="str">
        <f ca="1">IFERROR(__xludf.DUMMYFUNCTION("""COMPUTED_VALUE"""),"Flex IDS Player License")</f>
        <v>Flex IDS Player License</v>
      </c>
      <c r="D53" s="8" t="str">
        <f ca="1">IFERROR(__xludf.DUMMYFUNCTION("""COMPUTED_VALUE"""),"Recurring")</f>
        <v>Recurring</v>
      </c>
      <c r="E53" s="9" t="str">
        <f ca="1">IFERROR(__xludf.DUMMYFUNCTION("""COMPUTED_VALUE"""),"Igloo Flex Digital Signage Software License Scala Player One")</f>
        <v>Igloo Flex Digital Signage Software License Scala Player One</v>
      </c>
      <c r="F53" s="10" t="str">
        <f ca="1">IFERROR(__xludf.DUMMYFUNCTION("""COMPUTED_VALUE"""),"USD")</f>
        <v>USD</v>
      </c>
      <c r="G53" s="10">
        <f ca="1">IFERROR(__xludf.DUMMYFUNCTION("""COMPUTED_VALUE"""),25)</f>
        <v>25</v>
      </c>
      <c r="H53" s="10">
        <f ca="1">IFERROR(__xludf.DUMMYFUNCTION("""COMPUTED_VALUE"""),300)</f>
        <v>300</v>
      </c>
    </row>
    <row r="54" spans="1:8">
      <c r="A54" s="8" t="str">
        <f ca="1">IFERROR(__xludf.DUMMYFUNCTION("""COMPUTED_VALUE"""),"AS-IG-AO-IDS-SLF-SPO")</f>
        <v>AS-IG-AO-IDS-SLF-SPO</v>
      </c>
      <c r="B54" s="8" t="str">
        <f ca="1">IFERROR(__xludf.DUMMYFUNCTION("""COMPUTED_VALUE"""),"Quarterly Plan AS-IG-AO-IDS-SLF-SPO")</f>
        <v>Quarterly Plan AS-IG-AO-IDS-SLF-SPO</v>
      </c>
      <c r="C54" s="9" t="str">
        <f ca="1">IFERROR(__xludf.DUMMYFUNCTION("""COMPUTED_VALUE"""),"Flex IDS Player License")</f>
        <v>Flex IDS Player License</v>
      </c>
      <c r="D54" s="8" t="str">
        <f ca="1">IFERROR(__xludf.DUMMYFUNCTION("""COMPUTED_VALUE"""),"Recurring")</f>
        <v>Recurring</v>
      </c>
      <c r="E54" s="9" t="str">
        <f ca="1">IFERROR(__xludf.DUMMYFUNCTION("""COMPUTED_VALUE"""),"Igloo Flex Digital Signage Software License Scala Player One")</f>
        <v>Igloo Flex Digital Signage Software License Scala Player One</v>
      </c>
      <c r="F54" s="10" t="str">
        <f ca="1">IFERROR(__xludf.DUMMYFUNCTION("""COMPUTED_VALUE"""),"USD")</f>
        <v>USD</v>
      </c>
      <c r="G54" s="10">
        <f ca="1">IFERROR(__xludf.DUMMYFUNCTION("""COMPUTED_VALUE"""),25)</f>
        <v>25</v>
      </c>
      <c r="H54" s="10">
        <f ca="1">IFERROR(__xludf.DUMMYFUNCTION("""COMPUTED_VALUE"""),300)</f>
        <v>300</v>
      </c>
    </row>
    <row r="55" spans="1:8">
      <c r="A55" s="8" t="str">
        <f ca="1">IFERROR(__xludf.DUMMYFUNCTION("""COMPUTED_VALUE"""),"AS-IG-AO-IDS-SL-SPO")</f>
        <v>AS-IG-AO-IDS-SL-SPO</v>
      </c>
      <c r="B55" s="8" t="str">
        <f ca="1">IFERROR(__xludf.DUMMYFUNCTION("""COMPUTED_VALUE"""),"Quarterly Plan AS-IG-AO-IDS-SL-SPO")</f>
        <v>Quarterly Plan AS-IG-AO-IDS-SL-SPO</v>
      </c>
      <c r="C55" s="9" t="str">
        <f ca="1">IFERROR(__xludf.DUMMYFUNCTION("""COMPUTED_VALUE"""),"IDS Player License")</f>
        <v>IDS Player License</v>
      </c>
      <c r="D55" s="8" t="str">
        <f ca="1">IFERROR(__xludf.DUMMYFUNCTION("""COMPUTED_VALUE"""),"Recurring")</f>
        <v>Recurring</v>
      </c>
      <c r="E55" s="9" t="str">
        <f ca="1">IFERROR(__xludf.DUMMYFUNCTION("""COMPUTED_VALUE"""),"Igloo Digital Signage Software License Scala Player One")</f>
        <v>Igloo Digital Signage Software License Scala Player One</v>
      </c>
      <c r="F55" s="10" t="str">
        <f ca="1">IFERROR(__xludf.DUMMYFUNCTION("""COMPUTED_VALUE"""),"USD")</f>
        <v>USD</v>
      </c>
      <c r="G55" s="10">
        <f ca="1">IFERROR(__xludf.DUMMYFUNCTION("""COMPUTED_VALUE"""),300)</f>
        <v>300</v>
      </c>
      <c r="H55" s="10">
        <f ca="1">IFERROR(__xludf.DUMMYFUNCTION("""COMPUTED_VALUE"""),3600)</f>
        <v>3600</v>
      </c>
    </row>
    <row r="56" spans="1:8">
      <c r="A56" s="8" t="str">
        <f ca="1">IFERROR(__xludf.DUMMYFUNCTION("""COMPUTED_VALUE"""),"AS-IG-AO-IDS-SL-SPO")</f>
        <v>AS-IG-AO-IDS-SL-SPO</v>
      </c>
      <c r="B56" s="8" t="str">
        <f ca="1">IFERROR(__xludf.DUMMYFUNCTION("""COMPUTED_VALUE"""),"Annual Plan AS-IG-AO-IDS-SL-SPO")</f>
        <v>Annual Plan AS-IG-AO-IDS-SL-SPO</v>
      </c>
      <c r="C56" s="9" t="str">
        <f ca="1">IFERROR(__xludf.DUMMYFUNCTION("""COMPUTED_VALUE"""),"IDS Player License")</f>
        <v>IDS Player License</v>
      </c>
      <c r="D56" s="8" t="str">
        <f ca="1">IFERROR(__xludf.DUMMYFUNCTION("""COMPUTED_VALUE"""),"Recurring")</f>
        <v>Recurring</v>
      </c>
      <c r="E56" s="9" t="str">
        <f ca="1">IFERROR(__xludf.DUMMYFUNCTION("""COMPUTED_VALUE"""),"Igloo Digital Signage Software License Scala Player One")</f>
        <v>Igloo Digital Signage Software License Scala Player One</v>
      </c>
      <c r="F56" s="10" t="str">
        <f ca="1">IFERROR(__xludf.DUMMYFUNCTION("""COMPUTED_VALUE"""),"USD")</f>
        <v>USD</v>
      </c>
      <c r="G56" s="8">
        <f ca="1">IFERROR(__xludf.DUMMYFUNCTION("""COMPUTED_VALUE"""),300)</f>
        <v>300</v>
      </c>
      <c r="H56" s="10">
        <f ca="1">IFERROR(__xludf.DUMMYFUNCTION("""COMPUTED_VALUE"""),3600)</f>
        <v>3600</v>
      </c>
    </row>
    <row r="57" spans="1:8">
      <c r="A57" s="8" t="str">
        <f ca="1">IFERROR(__xludf.DUMMYFUNCTION("""COMPUTED_VALUE"""),"AS-IG-AO-IMBE-1")</f>
        <v>AS-IG-AO-IMBE-1</v>
      </c>
      <c r="B57" s="8" t="str">
        <f ca="1">IFERROR(__xludf.DUMMYFUNCTION("""COMPUTED_VALUE"""),"Quarterly Plan AS-IG-AO-IMBE-1")</f>
        <v>Quarterly Plan AS-IG-AO-IMBE-1</v>
      </c>
      <c r="C57" s="9" t="str">
        <f ca="1">IFERROR(__xludf.DUMMYFUNCTION("""COMPUTED_VALUE"""),"Branded Mobile")</f>
        <v>Branded Mobile</v>
      </c>
      <c r="D57" s="8" t="str">
        <f ca="1">IFERROR(__xludf.DUMMYFUNCTION("""COMPUTED_VALUE"""),"Recurring")</f>
        <v>Recurring</v>
      </c>
      <c r="E57" s="9" t="str">
        <f ca="1">IFERROR(__xludf.DUMMYFUNCTION("""COMPUTED_VALUE"""),"Igloo Mobile Branded Edition - Pkg 1")</f>
        <v>Igloo Mobile Branded Edition - Pkg 1</v>
      </c>
      <c r="F57" s="10" t="str">
        <f ca="1">IFERROR(__xludf.DUMMYFUNCTION("""COMPUTED_VALUE"""),"USD")</f>
        <v>USD</v>
      </c>
      <c r="G57" s="10">
        <f ca="1">IFERROR(__xludf.DUMMYFUNCTION("""COMPUTED_VALUE"""),833.33)</f>
        <v>833.33</v>
      </c>
      <c r="H57" s="10">
        <f ca="1">IFERROR(__xludf.DUMMYFUNCTION("""COMPUTED_VALUE"""),9999.96)</f>
        <v>9999.9599999999991</v>
      </c>
    </row>
    <row r="58" spans="1:8">
      <c r="A58" s="8" t="str">
        <f ca="1">IFERROR(__xludf.DUMMYFUNCTION("""COMPUTED_VALUE"""),"AS-IG-AO-IMBE-1")</f>
        <v>AS-IG-AO-IMBE-1</v>
      </c>
      <c r="B58" s="8" t="str">
        <f ca="1">IFERROR(__xludf.DUMMYFUNCTION("""COMPUTED_VALUE"""),"Annual Plan AS-IG-AO-IMBE-1")</f>
        <v>Annual Plan AS-IG-AO-IMBE-1</v>
      </c>
      <c r="C58" s="9" t="str">
        <f ca="1">IFERROR(__xludf.DUMMYFUNCTION("""COMPUTED_VALUE"""),"Branded Mobile")</f>
        <v>Branded Mobile</v>
      </c>
      <c r="D58" s="8" t="str">
        <f ca="1">IFERROR(__xludf.DUMMYFUNCTION("""COMPUTED_VALUE"""),"Recurring")</f>
        <v>Recurring</v>
      </c>
      <c r="E58" s="9" t="str">
        <f ca="1">IFERROR(__xludf.DUMMYFUNCTION("""COMPUTED_VALUE"""),"Igloo Mobile Branded Edition - Pkg 1")</f>
        <v>Igloo Mobile Branded Edition - Pkg 1</v>
      </c>
      <c r="F58" s="10" t="str">
        <f ca="1">IFERROR(__xludf.DUMMYFUNCTION("""COMPUTED_VALUE"""),"USD")</f>
        <v>USD</v>
      </c>
      <c r="G58" s="8">
        <f ca="1">IFERROR(__xludf.DUMMYFUNCTION("""COMPUTED_VALUE"""),833.33)</f>
        <v>833.33</v>
      </c>
      <c r="H58" s="10">
        <f ca="1">IFERROR(__xludf.DUMMYFUNCTION("""COMPUTED_VALUE"""),9999.96)</f>
        <v>9999.9599999999991</v>
      </c>
    </row>
    <row r="59" spans="1:8">
      <c r="A59" s="8" t="str">
        <f ca="1">IFERROR(__xludf.DUMMYFUNCTION("""COMPUTED_VALUE"""),"AS-IG-AO-IMBE-2")</f>
        <v>AS-IG-AO-IMBE-2</v>
      </c>
      <c r="B59" s="8" t="str">
        <f ca="1">IFERROR(__xludf.DUMMYFUNCTION("""COMPUTED_VALUE"""),"Quarterly Plan AS-IG-AO-IMBE-2")</f>
        <v>Quarterly Plan AS-IG-AO-IMBE-2</v>
      </c>
      <c r="C59" s="9" t="str">
        <f ca="1">IFERROR(__xludf.DUMMYFUNCTION("""COMPUTED_VALUE"""),"Branded Mobile")</f>
        <v>Branded Mobile</v>
      </c>
      <c r="D59" s="8" t="str">
        <f ca="1">IFERROR(__xludf.DUMMYFUNCTION("""COMPUTED_VALUE"""),"Recurring")</f>
        <v>Recurring</v>
      </c>
      <c r="E59" s="9" t="str">
        <f ca="1">IFERROR(__xludf.DUMMYFUNCTION("""COMPUTED_VALUE"""),"Igloo Mobile Branded Edition - Pkg 2")</f>
        <v>Igloo Mobile Branded Edition - Pkg 2</v>
      </c>
      <c r="F59" s="10" t="str">
        <f ca="1">IFERROR(__xludf.DUMMYFUNCTION("""COMPUTED_VALUE"""),"USD")</f>
        <v>USD</v>
      </c>
      <c r="G59" s="8">
        <f ca="1">IFERROR(__xludf.DUMMYFUNCTION("""COMPUTED_VALUE"""),1250)</f>
        <v>1250</v>
      </c>
      <c r="H59" s="10">
        <f ca="1">IFERROR(__xludf.DUMMYFUNCTION("""COMPUTED_VALUE"""),15000)</f>
        <v>15000</v>
      </c>
    </row>
    <row r="60" spans="1:8">
      <c r="A60" s="8" t="str">
        <f ca="1">IFERROR(__xludf.DUMMYFUNCTION("""COMPUTED_VALUE"""),"AS-IG-AO-IMBE-2")</f>
        <v>AS-IG-AO-IMBE-2</v>
      </c>
      <c r="B60" s="8" t="str">
        <f ca="1">IFERROR(__xludf.DUMMYFUNCTION("""COMPUTED_VALUE"""),"Annual Plan AS-IG-AO-IMBE-2")</f>
        <v>Annual Plan AS-IG-AO-IMBE-2</v>
      </c>
      <c r="C60" s="9" t="str">
        <f ca="1">IFERROR(__xludf.DUMMYFUNCTION("""COMPUTED_VALUE"""),"Branded Mobile")</f>
        <v>Branded Mobile</v>
      </c>
      <c r="D60" s="8" t="str">
        <f ca="1">IFERROR(__xludf.DUMMYFUNCTION("""COMPUTED_VALUE"""),"Recurring")</f>
        <v>Recurring</v>
      </c>
      <c r="E60" s="9" t="str">
        <f ca="1">IFERROR(__xludf.DUMMYFUNCTION("""COMPUTED_VALUE"""),"Igloo Mobile Branded Edition - Pkg 2")</f>
        <v>Igloo Mobile Branded Edition - Pkg 2</v>
      </c>
      <c r="F60" s="10" t="str">
        <f ca="1">IFERROR(__xludf.DUMMYFUNCTION("""COMPUTED_VALUE"""),"USD")</f>
        <v>USD</v>
      </c>
      <c r="G60" s="8">
        <f ca="1">IFERROR(__xludf.DUMMYFUNCTION("""COMPUTED_VALUE"""),1250)</f>
        <v>1250</v>
      </c>
      <c r="H60" s="10">
        <f ca="1">IFERROR(__xludf.DUMMYFUNCTION("""COMPUTED_VALUE"""),15000)</f>
        <v>15000</v>
      </c>
    </row>
    <row r="61" spans="1:8">
      <c r="A61" s="8" t="str">
        <f ca="1">IFERROR(__xludf.DUMMYFUNCTION("""COMPUTED_VALUE"""),"AS-IG-AO-IMBE-3")</f>
        <v>AS-IG-AO-IMBE-3</v>
      </c>
      <c r="B61" s="8" t="str">
        <f ca="1">IFERROR(__xludf.DUMMYFUNCTION("""COMPUTED_VALUE"""),"Quarterly Plan AS-IG-AO-IMBE-3")</f>
        <v>Quarterly Plan AS-IG-AO-IMBE-3</v>
      </c>
      <c r="C61" s="9" t="str">
        <f ca="1">IFERROR(__xludf.DUMMYFUNCTION("""COMPUTED_VALUE"""),"Branded Mobile")</f>
        <v>Branded Mobile</v>
      </c>
      <c r="D61" s="8" t="str">
        <f ca="1">IFERROR(__xludf.DUMMYFUNCTION("""COMPUTED_VALUE"""),"Recurring")</f>
        <v>Recurring</v>
      </c>
      <c r="E61" s="9" t="str">
        <f ca="1">IFERROR(__xludf.DUMMYFUNCTION("""COMPUTED_VALUE"""),"Igloo Mobile Branded Edition - Pkg 3")</f>
        <v>Igloo Mobile Branded Edition - Pkg 3</v>
      </c>
      <c r="F61" s="10" t="str">
        <f ca="1">IFERROR(__xludf.DUMMYFUNCTION("""COMPUTED_VALUE"""),"USD")</f>
        <v>USD</v>
      </c>
      <c r="G61" s="10">
        <f ca="1">IFERROR(__xludf.DUMMYFUNCTION("""COMPUTED_VALUE"""),2083.33)</f>
        <v>2083.33</v>
      </c>
      <c r="H61" s="10">
        <f ca="1">IFERROR(__xludf.DUMMYFUNCTION("""COMPUTED_VALUE"""),24999.96)</f>
        <v>24999.96</v>
      </c>
    </row>
    <row r="62" spans="1:8">
      <c r="A62" s="8" t="str">
        <f ca="1">IFERROR(__xludf.DUMMYFUNCTION("""COMPUTED_VALUE"""),"AS-IG-AO-IMBE-3")</f>
        <v>AS-IG-AO-IMBE-3</v>
      </c>
      <c r="B62" s="8" t="str">
        <f ca="1">IFERROR(__xludf.DUMMYFUNCTION("""COMPUTED_VALUE"""),"Annual Plan AS-IG-AO-IMBE-3")</f>
        <v>Annual Plan AS-IG-AO-IMBE-3</v>
      </c>
      <c r="C62" s="9" t="str">
        <f ca="1">IFERROR(__xludf.DUMMYFUNCTION("""COMPUTED_VALUE"""),"Branded Mobile")</f>
        <v>Branded Mobile</v>
      </c>
      <c r="D62" s="8" t="str">
        <f ca="1">IFERROR(__xludf.DUMMYFUNCTION("""COMPUTED_VALUE"""),"Recurring")</f>
        <v>Recurring</v>
      </c>
      <c r="E62" s="9" t="str">
        <f ca="1">IFERROR(__xludf.DUMMYFUNCTION("""COMPUTED_VALUE"""),"Igloo Mobile Branded Edition - Pkg 3")</f>
        <v>Igloo Mobile Branded Edition - Pkg 3</v>
      </c>
      <c r="F62" s="10" t="str">
        <f ca="1">IFERROR(__xludf.DUMMYFUNCTION("""COMPUTED_VALUE"""),"USD")</f>
        <v>USD</v>
      </c>
      <c r="G62" s="10">
        <f ca="1">IFERROR(__xludf.DUMMYFUNCTION("""COMPUTED_VALUE"""),2083.33)</f>
        <v>2083.33</v>
      </c>
      <c r="H62" s="10">
        <f ca="1">IFERROR(__xludf.DUMMYFUNCTION("""COMPUTED_VALUE"""),24999.96)</f>
        <v>24999.96</v>
      </c>
    </row>
    <row r="63" spans="1:8">
      <c r="A63" s="8" t="str">
        <f ca="1">IFERROR(__xludf.DUMMYFUNCTION("""COMPUTED_VALUE"""),"AS-IG-AO-IN-PB")</f>
        <v>AS-IG-AO-IN-PB</v>
      </c>
      <c r="B63" s="8" t="str">
        <f ca="1">IFERROR(__xludf.DUMMYFUNCTION("""COMPUTED_VALUE"""),"Quarterly Plan AS-IG-AO-IN-PB")</f>
        <v>Quarterly Plan AS-IG-AO-IN-PB</v>
      </c>
      <c r="C63" s="9" t="str">
        <f ca="1">IFERROR(__xludf.DUMMYFUNCTION("""COMPUTED_VALUE"""),"Insights Program Bundle")</f>
        <v>Insights Program Bundle</v>
      </c>
      <c r="D63" s="8" t="str">
        <f ca="1">IFERROR(__xludf.DUMMYFUNCTION("""COMPUTED_VALUE"""),"Recurring")</f>
        <v>Recurring</v>
      </c>
      <c r="E63" s="9" t="str">
        <f ca="1">IFERROR(__xludf.DUMMYFUNCTION("""COMPUTED_VALUE"""),"Insights Program Bundle")</f>
        <v>Insights Program Bundle</v>
      </c>
      <c r="F63" s="10" t="str">
        <f ca="1">IFERROR(__xludf.DUMMYFUNCTION("""COMPUTED_VALUE"""),"USD")</f>
        <v>USD</v>
      </c>
      <c r="G63" s="10">
        <f ca="1">IFERROR(__xludf.DUMMYFUNCTION("""COMPUTED_VALUE"""),333.33)</f>
        <v>333.33</v>
      </c>
      <c r="H63" s="10">
        <f ca="1">IFERROR(__xludf.DUMMYFUNCTION("""COMPUTED_VALUE"""),3999.96)</f>
        <v>3999.96</v>
      </c>
    </row>
    <row r="64" spans="1:8">
      <c r="A64" s="8" t="str">
        <f ca="1">IFERROR(__xludf.DUMMYFUNCTION("""COMPUTED_VALUE"""),"AS-IG-AO-IN-PB")</f>
        <v>AS-IG-AO-IN-PB</v>
      </c>
      <c r="B64" s="8" t="str">
        <f ca="1">IFERROR(__xludf.DUMMYFUNCTION("""COMPUTED_VALUE"""),"Annual Plan AS-IG-AO-IN-PB")</f>
        <v>Annual Plan AS-IG-AO-IN-PB</v>
      </c>
      <c r="C64" s="9" t="str">
        <f ca="1">IFERROR(__xludf.DUMMYFUNCTION("""COMPUTED_VALUE"""),"Insights Program Bundle")</f>
        <v>Insights Program Bundle</v>
      </c>
      <c r="D64" s="8" t="str">
        <f ca="1">IFERROR(__xludf.DUMMYFUNCTION("""COMPUTED_VALUE"""),"Recurring")</f>
        <v>Recurring</v>
      </c>
      <c r="E64" s="9" t="str">
        <f ca="1">IFERROR(__xludf.DUMMYFUNCTION("""COMPUTED_VALUE"""),"Insights Program Bundle")</f>
        <v>Insights Program Bundle</v>
      </c>
      <c r="F64" s="10" t="str">
        <f ca="1">IFERROR(__xludf.DUMMYFUNCTION("""COMPUTED_VALUE"""),"USD")</f>
        <v>USD</v>
      </c>
      <c r="G64" s="10">
        <f ca="1">IFERROR(__xludf.DUMMYFUNCTION("""COMPUTED_VALUE"""),333.33)</f>
        <v>333.33</v>
      </c>
      <c r="H64" s="10">
        <f ca="1">IFERROR(__xludf.DUMMYFUNCTION("""COMPUTED_VALUE"""),3999.96)</f>
        <v>3999.96</v>
      </c>
    </row>
    <row r="65" spans="1:8">
      <c r="A65" s="8" t="str">
        <f ca="1">IFERROR(__xludf.DUMMYFUNCTION("""COMPUTED_VALUE"""),"AS-IG-AO-M-PP")</f>
        <v>AS-IG-AO-M-PP</v>
      </c>
      <c r="B65" s="8" t="str">
        <f ca="1">IFERROR(__xludf.DUMMYFUNCTION("""COMPUTED_VALUE"""),"Quarterly Plan AS-IG-AO-M-PP")</f>
        <v>Quarterly Plan AS-IG-AO-M-PP</v>
      </c>
      <c r="C65" s="9" t="str">
        <f ca="1">IFERROR(__xludf.DUMMYFUNCTION("""COMPUTED_VALUE"""),"Premium Profiles")</f>
        <v>Premium Profiles</v>
      </c>
      <c r="D65" s="8" t="str">
        <f ca="1">IFERROR(__xludf.DUMMYFUNCTION("""COMPUTED_VALUE"""),"Recurring")</f>
        <v>Recurring</v>
      </c>
      <c r="E65" s="9" t="str">
        <f ca="1">IFERROR(__xludf.DUMMYFUNCTION("""COMPUTED_VALUE"""),"Module: Premium Profiles")</f>
        <v>Module: Premium Profiles</v>
      </c>
      <c r="F65" s="10" t="str">
        <f ca="1">IFERROR(__xludf.DUMMYFUNCTION("""COMPUTED_VALUE"""),"USD")</f>
        <v>USD</v>
      </c>
      <c r="G65" s="10">
        <f ca="1">IFERROR(__xludf.DUMMYFUNCTION("""COMPUTED_VALUE"""),208.33)</f>
        <v>208.33</v>
      </c>
      <c r="H65" s="10">
        <f ca="1">IFERROR(__xludf.DUMMYFUNCTION("""COMPUTED_VALUE"""),2499.96)</f>
        <v>2499.96</v>
      </c>
    </row>
    <row r="66" spans="1:8">
      <c r="A66" s="8" t="str">
        <f ca="1">IFERROR(__xludf.DUMMYFUNCTION("""COMPUTED_VALUE"""),"AS-IG-AO-M-PP")</f>
        <v>AS-IG-AO-M-PP</v>
      </c>
      <c r="B66" s="8" t="str">
        <f ca="1">IFERROR(__xludf.DUMMYFUNCTION("""COMPUTED_VALUE"""),"Annual Plan AS-IG-AO-M-PP")</f>
        <v>Annual Plan AS-IG-AO-M-PP</v>
      </c>
      <c r="C66" s="9" t="str">
        <f ca="1">IFERROR(__xludf.DUMMYFUNCTION("""COMPUTED_VALUE"""),"Premium Profiles")</f>
        <v>Premium Profiles</v>
      </c>
      <c r="D66" s="8" t="str">
        <f ca="1">IFERROR(__xludf.DUMMYFUNCTION("""COMPUTED_VALUE"""),"Recurring")</f>
        <v>Recurring</v>
      </c>
      <c r="E66" s="9" t="str">
        <f ca="1">IFERROR(__xludf.DUMMYFUNCTION("""COMPUTED_VALUE"""),"Module: Premium Profiles")</f>
        <v>Module: Premium Profiles</v>
      </c>
      <c r="F66" s="10" t="str">
        <f ca="1">IFERROR(__xludf.DUMMYFUNCTION("""COMPUTED_VALUE"""),"USD")</f>
        <v>USD</v>
      </c>
      <c r="G66" s="10">
        <f ca="1">IFERROR(__xludf.DUMMYFUNCTION("""COMPUTED_VALUE"""),208.33)</f>
        <v>208.33</v>
      </c>
      <c r="H66" s="10">
        <f ca="1">IFERROR(__xludf.DUMMYFUNCTION("""COMPUTED_VALUE"""),2499.96)</f>
        <v>2499.96</v>
      </c>
    </row>
    <row r="67" spans="1:8">
      <c r="A67" s="8" t="str">
        <f ca="1">IFERROR(__xludf.DUMMYFUNCTION("""COMPUTED_VALUE"""),"AS-IG-AO-RECC-P")</f>
        <v>AS-IG-AO-RECC-P</v>
      </c>
      <c r="B67" s="8" t="str">
        <f ca="1">IFERROR(__xludf.DUMMYFUNCTION("""COMPUTED_VALUE"""),"Annual Plan AS-IG-AO-RECC-P")</f>
        <v>Annual Plan AS-IG-AO-RECC-P</v>
      </c>
      <c r="C67" s="9" t="str">
        <f ca="1">IFERROR(__xludf.DUMMYFUNCTION("""COMPUTED_VALUE"""),"Rec Center Plus")</f>
        <v>Rec Center Plus</v>
      </c>
      <c r="D67" s="8" t="str">
        <f ca="1">IFERROR(__xludf.DUMMYFUNCTION("""COMPUTED_VALUE"""),"Recurring")</f>
        <v>Recurring</v>
      </c>
      <c r="E67" s="9" t="str">
        <f ca="1">IFERROR(__xludf.DUMMYFUNCTION("""COMPUTED_VALUE"""),"Recognition Center Plus")</f>
        <v>Recognition Center Plus</v>
      </c>
      <c r="F67" s="10" t="str">
        <f ca="1">IFERROR(__xludf.DUMMYFUNCTION("""COMPUTED_VALUE"""),"USD")</f>
        <v>USD</v>
      </c>
      <c r="G67" s="10">
        <f ca="1">IFERROR(__xludf.DUMMYFUNCTION("""COMPUTED_VALUE"""),15000)</f>
        <v>15000</v>
      </c>
      <c r="H67" s="10">
        <f ca="1">IFERROR(__xludf.DUMMYFUNCTION("""COMPUTED_VALUE"""),180000)</f>
        <v>180000</v>
      </c>
    </row>
    <row r="68" spans="1:8">
      <c r="A68" s="8" t="str">
        <f ca="1">IFERROR(__xludf.DUMMYFUNCTION("""COMPUTED_VALUE"""),"AS-IG-AO-RECC-P")</f>
        <v>AS-IG-AO-RECC-P</v>
      </c>
      <c r="B68" s="8" t="str">
        <f ca="1">IFERROR(__xludf.DUMMYFUNCTION("""COMPUTED_VALUE"""),"Quarterly Plan AS-IG-AO-RECC-P")</f>
        <v>Quarterly Plan AS-IG-AO-RECC-P</v>
      </c>
      <c r="C68" s="9" t="str">
        <f ca="1">IFERROR(__xludf.DUMMYFUNCTION("""COMPUTED_VALUE"""),"Rec Center Plus")</f>
        <v>Rec Center Plus</v>
      </c>
      <c r="D68" s="8" t="str">
        <f ca="1">IFERROR(__xludf.DUMMYFUNCTION("""COMPUTED_VALUE"""),"Recurring")</f>
        <v>Recurring</v>
      </c>
      <c r="E68" s="9" t="str">
        <f ca="1">IFERROR(__xludf.DUMMYFUNCTION("""COMPUTED_VALUE"""),"Recognition Center Plus")</f>
        <v>Recognition Center Plus</v>
      </c>
      <c r="F68" s="10" t="str">
        <f ca="1">IFERROR(__xludf.DUMMYFUNCTION("""COMPUTED_VALUE"""),"USD")</f>
        <v>USD</v>
      </c>
      <c r="G68" s="10">
        <f ca="1">IFERROR(__xludf.DUMMYFUNCTION("""COMPUTED_VALUE"""),15000)</f>
        <v>15000</v>
      </c>
      <c r="H68" s="10">
        <f ca="1">IFERROR(__xludf.DUMMYFUNCTION("""COMPUTED_VALUE"""),180000)</f>
        <v>180000</v>
      </c>
    </row>
    <row r="69" spans="1:8">
      <c r="A69" s="8" t="str">
        <f ca="1">IFERROR(__xludf.DUMMYFUNCTION("""COMPUTED_VALUE"""),"AS-IG-AO-TR-IUL")</f>
        <v>AS-IG-AO-TR-IUL</v>
      </c>
      <c r="B69" s="8" t="str">
        <f ca="1">IFERROR(__xludf.DUMMYFUNCTION("""COMPUTED_VALUE"""),"Quarterly Plan AS-IG-AO-TR-IUL")</f>
        <v>Quarterly Plan AS-IG-AO-TR-IUL</v>
      </c>
      <c r="C69" s="9" t="str">
        <f ca="1">IFERROR(__xludf.DUMMYFUNCTION("""COMPUTED_VALUE"""),"Igloo University License")</f>
        <v>Igloo University License</v>
      </c>
      <c r="D69" s="8" t="str">
        <f ca="1">IFERROR(__xludf.DUMMYFUNCTION("""COMPUTED_VALUE"""),"Recurring")</f>
        <v>Recurring</v>
      </c>
      <c r="E69" s="9" t="str">
        <f ca="1">IFERROR(__xludf.DUMMYFUNCTION("""COMPUTED_VALUE"""),"Igloo University License")</f>
        <v>Igloo University License</v>
      </c>
      <c r="F69" s="10" t="str">
        <f ca="1">IFERROR(__xludf.DUMMYFUNCTION("""COMPUTED_VALUE"""),"USD")</f>
        <v>USD</v>
      </c>
      <c r="G69" s="10">
        <f ca="1">IFERROR(__xludf.DUMMYFUNCTION("""COMPUTED_VALUE"""),750)</f>
        <v>750</v>
      </c>
      <c r="H69" s="10">
        <f ca="1">IFERROR(__xludf.DUMMYFUNCTION("""COMPUTED_VALUE"""),9000)</f>
        <v>9000</v>
      </c>
    </row>
    <row r="70" spans="1:8">
      <c r="A70" s="8" t="str">
        <f ca="1">IFERROR(__xludf.DUMMYFUNCTION("""COMPUTED_VALUE"""),"AS-IG-AO-TR-IUL")</f>
        <v>AS-IG-AO-TR-IUL</v>
      </c>
      <c r="B70" s="8" t="str">
        <f ca="1">IFERROR(__xludf.DUMMYFUNCTION("""COMPUTED_VALUE"""),"Annual Plan AS-IG-AO-TR-IUL")</f>
        <v>Annual Plan AS-IG-AO-TR-IUL</v>
      </c>
      <c r="C70" s="9" t="str">
        <f ca="1">IFERROR(__xludf.DUMMYFUNCTION("""COMPUTED_VALUE"""),"Igloo University License")</f>
        <v>Igloo University License</v>
      </c>
      <c r="D70" s="8" t="str">
        <f ca="1">IFERROR(__xludf.DUMMYFUNCTION("""COMPUTED_VALUE"""),"Recurring")</f>
        <v>Recurring</v>
      </c>
      <c r="E70" s="9" t="str">
        <f ca="1">IFERROR(__xludf.DUMMYFUNCTION("""COMPUTED_VALUE"""),"Igloo University License")</f>
        <v>Igloo University License</v>
      </c>
      <c r="F70" s="10" t="str">
        <f ca="1">IFERROR(__xludf.DUMMYFUNCTION("""COMPUTED_VALUE"""),"USD")</f>
        <v>USD</v>
      </c>
      <c r="G70" s="10">
        <f ca="1">IFERROR(__xludf.DUMMYFUNCTION("""COMPUTED_VALUE"""),750)</f>
        <v>750</v>
      </c>
      <c r="H70" s="10">
        <f ca="1">IFERROR(__xludf.DUMMYFUNCTION("""COMPUTED_VALUE"""),9000)</f>
        <v>9000</v>
      </c>
    </row>
    <row r="71" spans="1:8">
      <c r="A71" s="8" t="str">
        <f ca="1">IFERROR(__xludf.DUMMYFUNCTION("""COMPUTED_VALUE"""),"AS-IG-DATA-EXPORT")</f>
        <v>AS-IG-DATA-EXPORT</v>
      </c>
      <c r="B71" s="8" t="str">
        <f ca="1">IFERROR(__xludf.DUMMYFUNCTION("""COMPUTED_VALUE"""),"AS-IG-DATA-EXPORT")</f>
        <v>AS-IG-DATA-EXPORT</v>
      </c>
      <c r="C71" s="9" t="str">
        <f ca="1">IFERROR(__xludf.DUMMYFUNCTION("""COMPUTED_VALUE"""),"Data Export")</f>
        <v>Data Export</v>
      </c>
      <c r="D71" s="8" t="str">
        <f ca="1">IFERROR(__xludf.DUMMYFUNCTION("""COMPUTED_VALUE"""),"One-Time")</f>
        <v>One-Time</v>
      </c>
      <c r="E71" s="9" t="str">
        <f ca="1">IFERROR(__xludf.DUMMYFUNCTION("""COMPUTED_VALUE"""),"Data Export")</f>
        <v>Data Export</v>
      </c>
      <c r="F71" s="10" t="str">
        <f ca="1">IFERROR(__xludf.DUMMYFUNCTION("""COMPUTED_VALUE"""),"USD")</f>
        <v>USD</v>
      </c>
      <c r="G71" s="10">
        <f ca="1">IFERROR(__xludf.DUMMYFUNCTION("""COMPUTED_VALUE"""),2500)</f>
        <v>2500</v>
      </c>
      <c r="H71" s="10">
        <f ca="1">IFERROR(__xludf.DUMMYFUNCTION("""COMPUTED_VALUE"""),2500)</f>
        <v>2500</v>
      </c>
    </row>
    <row r="72" spans="1:8">
      <c r="A72" s="8" t="str">
        <f ca="1">IFERROR(__xludf.DUMMYFUNCTION("""COMPUTED_VALUE"""),"AS-IG-DWEP-P")</f>
        <v>AS-IG-DWEP-P</v>
      </c>
      <c r="B72" s="8" t="str">
        <f ca="1">IFERROR(__xludf.DUMMYFUNCTION("""COMPUTED_VALUE"""),"Quarterly Plan AS-IG-DWEP-P")</f>
        <v>Quarterly Plan AS-IG-DWEP-P</v>
      </c>
      <c r="C72" s="9" t="str">
        <f ca="1">IFERROR(__xludf.DUMMYFUNCTION("""COMPUTED_VALUE"""),"DWP Excellence Program")</f>
        <v>DWP Excellence Program</v>
      </c>
      <c r="D72" s="8" t="str">
        <f ca="1">IFERROR(__xludf.DUMMYFUNCTION("""COMPUTED_VALUE"""),"Recurring")</f>
        <v>Recurring</v>
      </c>
      <c r="E72" s="9" t="str">
        <f ca="1">IFERROR(__xludf.DUMMYFUNCTION("""COMPUTED_VALUE"""),"Digital Workplace Excellence Program - Pro")</f>
        <v>Digital Workplace Excellence Program - Pro</v>
      </c>
      <c r="F72" s="10" t="str">
        <f ca="1">IFERROR(__xludf.DUMMYFUNCTION("""COMPUTED_VALUE"""),"USD")</f>
        <v>USD</v>
      </c>
      <c r="G72" s="10">
        <f ca="1">IFERROR(__xludf.DUMMYFUNCTION("""COMPUTED_VALUE"""),8000)</f>
        <v>8000</v>
      </c>
      <c r="H72" s="10">
        <f ca="1">IFERROR(__xludf.DUMMYFUNCTION("""COMPUTED_VALUE"""),96000)</f>
        <v>96000</v>
      </c>
    </row>
    <row r="73" spans="1:8">
      <c r="A73" s="8" t="str">
        <f ca="1">IFERROR(__xludf.DUMMYFUNCTION("""COMPUTED_VALUE"""),"AS-IG-DWEP-P")</f>
        <v>AS-IG-DWEP-P</v>
      </c>
      <c r="B73" s="8" t="str">
        <f ca="1">IFERROR(__xludf.DUMMYFUNCTION("""COMPUTED_VALUE"""),"Annual Plan AS-IG-DWEP-P")</f>
        <v>Annual Plan AS-IG-DWEP-P</v>
      </c>
      <c r="C73" s="9" t="str">
        <f ca="1">IFERROR(__xludf.DUMMYFUNCTION("""COMPUTED_VALUE"""),"DWP Excellence Program")</f>
        <v>DWP Excellence Program</v>
      </c>
      <c r="D73" s="8" t="str">
        <f ca="1">IFERROR(__xludf.DUMMYFUNCTION("""COMPUTED_VALUE"""),"Recurring")</f>
        <v>Recurring</v>
      </c>
      <c r="E73" s="9" t="str">
        <f ca="1">IFERROR(__xludf.DUMMYFUNCTION("""COMPUTED_VALUE"""),"Digital Workplace Excellence Program - Pro")</f>
        <v>Digital Workplace Excellence Program - Pro</v>
      </c>
      <c r="F73" s="10" t="str">
        <f ca="1">IFERROR(__xludf.DUMMYFUNCTION("""COMPUTED_VALUE"""),"USD")</f>
        <v>USD</v>
      </c>
      <c r="G73" s="10">
        <f ca="1">IFERROR(__xludf.DUMMYFUNCTION("""COMPUTED_VALUE"""),8000)</f>
        <v>8000</v>
      </c>
      <c r="H73" s="10">
        <f ca="1">IFERROR(__xludf.DUMMYFUNCTION("""COMPUTED_VALUE"""),96000)</f>
        <v>96000</v>
      </c>
    </row>
    <row r="74" spans="1:8">
      <c r="A74" s="8" t="str">
        <f ca="1">IFERROR(__xludf.DUMMYFUNCTION("""COMPUTED_VALUE"""),"AS-IG-EVOL-A-SS")</f>
        <v>AS-IG-EVOL-A-SS</v>
      </c>
      <c r="B74" s="8" t="str">
        <f ca="1">IFERROR(__xludf.DUMMYFUNCTION("""COMPUTED_VALUE"""),"AS-IG-EVOL-A-SS")</f>
        <v>AS-IG-EVOL-A-SS</v>
      </c>
      <c r="C74" s="9" t="str">
        <f ca="1">IFERROR(__xludf.DUMMYFUNCTION("""COMPUTED_VALUE"""),"Evolve - Architecture and Search")</f>
        <v>Evolve - Architecture and Search</v>
      </c>
      <c r="D74" s="8" t="str">
        <f ca="1">IFERROR(__xludf.DUMMYFUNCTION("""COMPUTED_VALUE"""),"One-Time")</f>
        <v>One-Time</v>
      </c>
      <c r="E74" s="9" t="str">
        <f ca="1">IFERROR(__xludf.DUMMYFUNCTION("""COMPUTED_VALUE"""),"Evolve - Architecture &amp; Search Support")</f>
        <v>Evolve - Architecture &amp; Search Support</v>
      </c>
      <c r="F74" s="10" t="str">
        <f ca="1">IFERROR(__xludf.DUMMYFUNCTION("""COMPUTED_VALUE"""),"USD")</f>
        <v>USD</v>
      </c>
      <c r="G74" s="10">
        <f ca="1">IFERROR(__xludf.DUMMYFUNCTION("""COMPUTED_VALUE"""),416.67)</f>
        <v>416.67</v>
      </c>
      <c r="H74" s="10">
        <f ca="1">IFERROR(__xludf.DUMMYFUNCTION("""COMPUTED_VALUE"""),416.67)</f>
        <v>416.67</v>
      </c>
    </row>
    <row r="75" spans="1:8">
      <c r="A75" s="8" t="str">
        <f ca="1">IFERROR(__xludf.DUMMYFUNCTION("""COMPUTED_VALUE"""),"AS-IG-EVOL-EVDE")</f>
        <v>AS-IG-EVOL-EVDE</v>
      </c>
      <c r="B75" s="8" t="str">
        <f ca="1">IFERROR(__xludf.DUMMYFUNCTION("""COMPUTED_VALUE"""),"AS-IG-EVOL-EVDE")</f>
        <v>AS-IG-EVOL-EVDE</v>
      </c>
      <c r="C75" s="9" t="str">
        <f ca="1">IFERROR(__xludf.DUMMYFUNCTION("""COMPUTED_VALUE"""),"Evolve - Enterprise VD")</f>
        <v>Evolve - Enterprise VD</v>
      </c>
      <c r="D75" s="8" t="str">
        <f ca="1">IFERROR(__xludf.DUMMYFUNCTION("""COMPUTED_VALUE"""),"One-Time")</f>
        <v>One-Time</v>
      </c>
      <c r="E75" s="9" t="str">
        <f ca="1">IFERROR(__xludf.DUMMYFUNCTION("""COMPUTED_VALUE"""),"Enterprise Visual Design Evolve")</f>
        <v>Enterprise Visual Design Evolve</v>
      </c>
      <c r="F75" s="10" t="str">
        <f ca="1">IFERROR(__xludf.DUMMYFUNCTION("""COMPUTED_VALUE"""),"USD")</f>
        <v>USD</v>
      </c>
      <c r="G75" s="10">
        <f ca="1">IFERROR(__xludf.DUMMYFUNCTION("""COMPUTED_VALUE"""),20000)</f>
        <v>20000</v>
      </c>
      <c r="H75" s="10">
        <f ca="1">IFERROR(__xludf.DUMMYFUNCTION("""COMPUTED_VALUE"""),20000)</f>
        <v>20000</v>
      </c>
    </row>
    <row r="76" spans="1:8">
      <c r="A76" s="8" t="str">
        <f ca="1">IFERROR(__xludf.DUMMYFUNCTION("""COMPUTED_VALUE"""),"AS-IG-FAIS")</f>
        <v>AS-IG-FAIS</v>
      </c>
      <c r="B76" s="8" t="str">
        <f ca="1">IFERROR(__xludf.DUMMYFUNCTION("""COMPUTED_VALUE"""),"AS-IG-FAIS")</f>
        <v>AS-IG-FAIS</v>
      </c>
      <c r="C76" s="9" t="str">
        <f ca="1">IFERROR(__xludf.DUMMYFUNCTION("""COMPUTED_VALUE"""),"Flex Advanced Implementation")</f>
        <v>Flex Advanced Implementation</v>
      </c>
      <c r="D76" s="8" t="str">
        <f ca="1">IFERROR(__xludf.DUMMYFUNCTION("""COMPUTED_VALUE"""),"One-Time")</f>
        <v>One-Time</v>
      </c>
      <c r="E76" s="9" t="str">
        <f ca="1">IFERROR(__xludf.DUMMYFUNCTION("""COMPUTED_VALUE"""),"Flex Advanced Implementation Services")</f>
        <v>Flex Advanced Implementation Services</v>
      </c>
      <c r="F76" s="10" t="str">
        <f ca="1">IFERROR(__xludf.DUMMYFUNCTION("""COMPUTED_VALUE"""),"USD")</f>
        <v>USD</v>
      </c>
      <c r="G76" s="10">
        <f ca="1">IFERROR(__xludf.DUMMYFUNCTION("""COMPUTED_VALUE"""),100000)</f>
        <v>100000</v>
      </c>
      <c r="H76" s="10">
        <f ca="1">IFERROR(__xludf.DUMMYFUNCTION("""COMPUTED_VALUE"""),100000)</f>
        <v>100000</v>
      </c>
    </row>
    <row r="77" spans="1:8">
      <c r="A77" s="8" t="str">
        <f ca="1">IFERROR(__xludf.DUMMYFUNCTION("""COMPUTED_VALUE"""),"AS-IG-FSIS")</f>
        <v>AS-IG-FSIS</v>
      </c>
      <c r="B77" s="8" t="str">
        <f ca="1">IFERROR(__xludf.DUMMYFUNCTION("""COMPUTED_VALUE"""),"AS-IG-FSIS")</f>
        <v>AS-IG-FSIS</v>
      </c>
      <c r="C77" s="9" t="str">
        <f ca="1">IFERROR(__xludf.DUMMYFUNCTION("""COMPUTED_VALUE"""),"Flex Standard Implementation")</f>
        <v>Flex Standard Implementation</v>
      </c>
      <c r="D77" s="8" t="str">
        <f ca="1">IFERROR(__xludf.DUMMYFUNCTION("""COMPUTED_VALUE"""),"One-Time")</f>
        <v>One-Time</v>
      </c>
      <c r="E77" s="9" t="str">
        <f ca="1">IFERROR(__xludf.DUMMYFUNCTION("""COMPUTED_VALUE"""),"Flex Standard Implementation Services")</f>
        <v>Flex Standard Implementation Services</v>
      </c>
      <c r="F77" s="10" t="str">
        <f ca="1">IFERROR(__xludf.DUMMYFUNCTION("""COMPUTED_VALUE"""),"USD")</f>
        <v>USD</v>
      </c>
      <c r="G77" s="10">
        <f ca="1">IFERROR(__xludf.DUMMYFUNCTION("""COMPUTED_VALUE"""),50000)</f>
        <v>50000</v>
      </c>
      <c r="H77" s="10">
        <f ca="1">IFERROR(__xludf.DUMMYFUNCTION("""COMPUTED_VALUE"""),50000)</f>
        <v>50000</v>
      </c>
    </row>
    <row r="78" spans="1:8">
      <c r="A78" s="8" t="str">
        <f ca="1">IFERROR(__xludf.DUMMYFUNCTION("""COMPUTED_VALUE"""),"AS-IG-HOSTING-MULTIT-I-1-10")</f>
        <v>AS-IG-HOSTING-MULTIT-I-1-10</v>
      </c>
      <c r="B78" s="8" t="str">
        <f ca="1">IFERROR(__xludf.DUMMYFUNCTION("""COMPUTED_VALUE"""),"Annual Plan AS-IG-HOSTING-MULTIT-I-1-10")</f>
        <v>Annual Plan AS-IG-HOSTING-MULTIT-I-1-10</v>
      </c>
      <c r="C78" s="9" t="str">
        <f ca="1">IFERROR(__xludf.DUMMYFUNCTION("""COMPUTED_VALUE"""),"Igloo Concurrent License")</f>
        <v>Igloo Concurrent License</v>
      </c>
      <c r="D78" s="8" t="str">
        <f ca="1">IFERROR(__xludf.DUMMYFUNCTION("""COMPUTED_VALUE"""),"Recurring")</f>
        <v>Recurring</v>
      </c>
      <c r="E78" s="9" t="str">
        <f ca="1">IFERROR(__xludf.DUMMYFUNCTION("""COMPUTED_VALUE"""),"Concurrent 1:10")</f>
        <v>Concurrent 1:10</v>
      </c>
      <c r="F78" s="10" t="str">
        <f ca="1">IFERROR(__xludf.DUMMYFUNCTION("""COMPUTED_VALUE"""),"USD")</f>
        <v>USD</v>
      </c>
      <c r="G78" s="10">
        <f ca="1">IFERROR(__xludf.DUMMYFUNCTION("""COMPUTED_VALUE"""),12)</f>
        <v>12</v>
      </c>
      <c r="H78" s="10">
        <f ca="1">IFERROR(__xludf.DUMMYFUNCTION("""COMPUTED_VALUE"""),144)</f>
        <v>144</v>
      </c>
    </row>
    <row r="79" spans="1:8">
      <c r="A79" s="8" t="str">
        <f ca="1">IFERROR(__xludf.DUMMYFUNCTION("""COMPUTED_VALUE"""),"AS-IG-HOSTING-MULTIT-I-1-10")</f>
        <v>AS-IG-HOSTING-MULTIT-I-1-10</v>
      </c>
      <c r="B79" s="8" t="str">
        <f ca="1">IFERROR(__xludf.DUMMYFUNCTION("""COMPUTED_VALUE"""),"Quarterly Plan AS-IG-HOSTING-MULTIT-I-1-10")</f>
        <v>Quarterly Plan AS-IG-HOSTING-MULTIT-I-1-10</v>
      </c>
      <c r="C79" s="9" t="str">
        <f ca="1">IFERROR(__xludf.DUMMYFUNCTION("""COMPUTED_VALUE"""),"Igloo Concurrent License")</f>
        <v>Igloo Concurrent License</v>
      </c>
      <c r="D79" s="8" t="str">
        <f ca="1">IFERROR(__xludf.DUMMYFUNCTION("""COMPUTED_VALUE"""),"Recurring")</f>
        <v>Recurring</v>
      </c>
      <c r="E79" s="9" t="str">
        <f ca="1">IFERROR(__xludf.DUMMYFUNCTION("""COMPUTED_VALUE"""),"Concurrent 1:10")</f>
        <v>Concurrent 1:10</v>
      </c>
      <c r="F79" s="10" t="str">
        <f ca="1">IFERROR(__xludf.DUMMYFUNCTION("""COMPUTED_VALUE"""),"USD")</f>
        <v>USD</v>
      </c>
      <c r="G79" s="10">
        <f ca="1">IFERROR(__xludf.DUMMYFUNCTION("""COMPUTED_VALUE"""),12)</f>
        <v>12</v>
      </c>
      <c r="H79" s="10">
        <f ca="1">IFERROR(__xludf.DUMMYFUNCTION("""COMPUTED_VALUE"""),144)</f>
        <v>144</v>
      </c>
    </row>
    <row r="80" spans="1:8">
      <c r="A80" s="8" t="str">
        <f ca="1">IFERROR(__xludf.DUMMYFUNCTION("""COMPUTED_VALUE"""),"AS-IG-IDS-DS-BP")</f>
        <v>AS-IG-IDS-DS-BP</v>
      </c>
      <c r="B80" s="8" t="str">
        <f ca="1">IFERROR(__xludf.DUMMYFUNCTION("""COMPUTED_VALUE"""),"AS-IG-IDS-DS-BP")</f>
        <v>AS-IG-IDS-DS-BP</v>
      </c>
      <c r="C80" s="9" t="str">
        <f ca="1">IFERROR(__xludf.DUMMYFUNCTION("""COMPUTED_VALUE"""),"IDS Scala Implement")</f>
        <v>IDS Scala Implement</v>
      </c>
      <c r="D80" s="8" t="str">
        <f ca="1">IFERROR(__xludf.DUMMYFUNCTION("""COMPUTED_VALUE"""),"One-Time")</f>
        <v>One-Time</v>
      </c>
      <c r="E80" s="9" t="str">
        <f ca="1">IFERROR(__xludf.DUMMYFUNCTION("""COMPUTED_VALUE"""),"Igloo Digital Signage Services Base Package - Standard Templates + Implementation")</f>
        <v>Igloo Digital Signage Services Base Package - Standard Templates + Implementation</v>
      </c>
      <c r="F80" s="10" t="str">
        <f ca="1">IFERROR(__xludf.DUMMYFUNCTION("""COMPUTED_VALUE"""),"USD")</f>
        <v>USD</v>
      </c>
      <c r="G80" s="10">
        <f ca="1">IFERROR(__xludf.DUMMYFUNCTION("""COMPUTED_VALUE"""),150)</f>
        <v>150</v>
      </c>
      <c r="H80" s="10">
        <f ca="1">IFERROR(__xludf.DUMMYFUNCTION("""COMPUTED_VALUE"""),150)</f>
        <v>150</v>
      </c>
    </row>
    <row r="81" spans="1:8">
      <c r="A81" s="8" t="str">
        <f ca="1">IFERROR(__xludf.DUMMYFUNCTION("""COMPUTED_VALUE"""),"AS-IG-IDS-DS-IISDS")</f>
        <v>AS-IG-IDS-DS-IISDS</v>
      </c>
      <c r="B81" s="8" t="str">
        <f ca="1">IFERROR(__xludf.DUMMYFUNCTION("""COMPUTED_VALUE"""),"AS-IG-IDS-DS-IISDS")</f>
        <v>AS-IG-IDS-DS-IISDS</v>
      </c>
      <c r="C81" s="9" t="str">
        <f ca="1">IFERROR(__xludf.DUMMYFUNCTION("""COMPUTED_VALUE"""),"IDS Igloo Implement")</f>
        <v>IDS Igloo Implement</v>
      </c>
      <c r="D81" s="8" t="str">
        <f ca="1">IFERROR(__xludf.DUMMYFUNCTION("""COMPUTED_VALUE"""),"One-Time")</f>
        <v>One-Time</v>
      </c>
      <c r="E81" s="9" t="str">
        <f ca="1">IFERROR(__xludf.DUMMYFUNCTION("""COMPUTED_VALUE"""),"Igloo Digital Signage Services Igloo Implementation Services for Digital Signage")</f>
        <v>Igloo Digital Signage Services Igloo Implementation Services for Digital Signage</v>
      </c>
      <c r="F81" s="10" t="str">
        <f ca="1">IFERROR(__xludf.DUMMYFUNCTION("""COMPUTED_VALUE"""),"USD")</f>
        <v>USD</v>
      </c>
      <c r="G81" s="8">
        <f ca="1">IFERROR(__xludf.DUMMYFUNCTION("""COMPUTED_VALUE"""),3500)</f>
        <v>3500</v>
      </c>
      <c r="H81" s="10">
        <f ca="1">IFERROR(__xludf.DUMMYFUNCTION("""COMPUTED_VALUE"""),3500)</f>
        <v>3500</v>
      </c>
    </row>
    <row r="82" spans="1:8">
      <c r="A82" s="8" t="str">
        <f ca="1">IFERROR(__xludf.DUMMYFUNCTION("""COMPUTED_VALUE"""),"AS-IG-IFAH-1UL")</f>
        <v>AS-IG-IFAH-1UL</v>
      </c>
      <c r="B82" s="8" t="str">
        <f ca="1">IFERROR(__xludf.DUMMYFUNCTION("""COMPUTED_VALUE"""),"Quarterly Plan AS-IG-IFAH-1UL")</f>
        <v>Quarterly Plan AS-IG-IFAH-1UL</v>
      </c>
      <c r="C82" s="9" t="str">
        <f ca="1">IFERROR(__xludf.DUMMYFUNCTION("""COMPUTED_VALUE"""),"Igloo Flex License")</f>
        <v>Igloo Flex License</v>
      </c>
      <c r="D82" s="8" t="str">
        <f ca="1">IFERROR(__xludf.DUMMYFUNCTION("""COMPUTED_VALUE"""),"Recurring")</f>
        <v>Recurring</v>
      </c>
      <c r="E82" s="9" t="str">
        <f ca="1">IFERROR(__xludf.DUMMYFUNCTION("""COMPUTED_VALUE"""),"Igloo Flex Authorized User License")</f>
        <v>Igloo Flex Authorized User License</v>
      </c>
      <c r="F82" s="10" t="str">
        <f ca="1">IFERROR(__xludf.DUMMYFUNCTION("""COMPUTED_VALUE"""),"USD")</f>
        <v>USD</v>
      </c>
      <c r="G82" s="10">
        <f ca="1">IFERROR(__xludf.DUMMYFUNCTION("""COMPUTED_VALUE"""),5.99)</f>
        <v>5.99</v>
      </c>
      <c r="H82" s="10">
        <f ca="1">IFERROR(__xludf.DUMMYFUNCTION("""COMPUTED_VALUE"""),71.88)</f>
        <v>71.88</v>
      </c>
    </row>
    <row r="83" spans="1:8">
      <c r="A83" s="8" t="str">
        <f ca="1">IFERROR(__xludf.DUMMYFUNCTION("""COMPUTED_VALUE"""),"AS-IG-IFAH-1UL")</f>
        <v>AS-IG-IFAH-1UL</v>
      </c>
      <c r="B83" s="8" t="str">
        <f ca="1">IFERROR(__xludf.DUMMYFUNCTION("""COMPUTED_VALUE"""),"Annual Plan AS-IG-IFAH-1UL")</f>
        <v>Annual Plan AS-IG-IFAH-1UL</v>
      </c>
      <c r="C83" s="9" t="str">
        <f ca="1">IFERROR(__xludf.DUMMYFUNCTION("""COMPUTED_VALUE"""),"Igloo Flex License")</f>
        <v>Igloo Flex License</v>
      </c>
      <c r="D83" s="8" t="str">
        <f ca="1">IFERROR(__xludf.DUMMYFUNCTION("""COMPUTED_VALUE"""),"Recurring")</f>
        <v>Recurring</v>
      </c>
      <c r="E83" s="9" t="str">
        <f ca="1">IFERROR(__xludf.DUMMYFUNCTION("""COMPUTED_VALUE"""),"Igloo Flex Authorized User License")</f>
        <v>Igloo Flex Authorized User License</v>
      </c>
      <c r="F83" s="10" t="str">
        <f ca="1">IFERROR(__xludf.DUMMYFUNCTION("""COMPUTED_VALUE"""),"USD")</f>
        <v>USD</v>
      </c>
      <c r="G83" s="10">
        <f ca="1">IFERROR(__xludf.DUMMYFUNCTION("""COMPUTED_VALUE"""),5.99)</f>
        <v>5.99</v>
      </c>
      <c r="H83" s="10">
        <f ca="1">IFERROR(__xludf.DUMMYFUNCTION("""COMPUTED_VALUE"""),71.88)</f>
        <v>71.88</v>
      </c>
    </row>
    <row r="84" spans="1:8">
      <c r="A84" s="8" t="str">
        <f ca="1">IFERROR(__xludf.DUMMYFUNCTION("""COMPUTED_VALUE"""),"AS-IG-IIS-UL")</f>
        <v>AS-IG-IIS-UL</v>
      </c>
      <c r="B84" s="8" t="str">
        <f ca="1">IFERROR(__xludf.DUMMYFUNCTION("""COMPUTED_VALUE"""),"Annual Plan AS-IG-IIS-UL")</f>
        <v>Annual Plan AS-IG-IIS-UL</v>
      </c>
      <c r="C84" s="9" t="str">
        <f ca="1">IFERROR(__xludf.DUMMYFUNCTION("""COMPUTED_VALUE"""),"IIS Queries")</f>
        <v>IIS Queries</v>
      </c>
      <c r="D84" s="8" t="str">
        <f ca="1">IFERROR(__xludf.DUMMYFUNCTION("""COMPUTED_VALUE"""),"Recurring")</f>
        <v>Recurring</v>
      </c>
      <c r="E84" s="9" t="str">
        <f ca="1">IFERROR(__xludf.DUMMYFUNCTION("""COMPUTED_VALUE"""),"Igloo Intelligent Search (IIS)")</f>
        <v>Igloo Intelligent Search (IIS)</v>
      </c>
      <c r="F84" s="10" t="str">
        <f ca="1">IFERROR(__xludf.DUMMYFUNCTION("""COMPUTED_VALUE"""),"USD")</f>
        <v>USD</v>
      </c>
      <c r="G84" s="8">
        <f ca="1">IFERROR(__xludf.DUMMYFUNCTION("""COMPUTED_VALUE"""),0.02)</f>
        <v>0.02</v>
      </c>
      <c r="H84" s="10">
        <f ca="1">IFERROR(__xludf.DUMMYFUNCTION("""COMPUTED_VALUE"""),0.24)</f>
        <v>0.24</v>
      </c>
    </row>
    <row r="85" spans="1:8">
      <c r="A85" s="8" t="str">
        <f ca="1">IFERROR(__xludf.DUMMYFUNCTION("""COMPUTED_VALUE"""),"AS-IG-IIS-UL")</f>
        <v>AS-IG-IIS-UL</v>
      </c>
      <c r="B85" s="8" t="str">
        <f ca="1">IFERROR(__xludf.DUMMYFUNCTION("""COMPUTED_VALUE"""),"Quarterly Plan AS-IG-IIS-UL")</f>
        <v>Quarterly Plan AS-IG-IIS-UL</v>
      </c>
      <c r="C85" s="9" t="str">
        <f ca="1">IFERROR(__xludf.DUMMYFUNCTION("""COMPUTED_VALUE"""),"IIS Queries")</f>
        <v>IIS Queries</v>
      </c>
      <c r="D85" s="8" t="str">
        <f ca="1">IFERROR(__xludf.DUMMYFUNCTION("""COMPUTED_VALUE"""),"Recurring")</f>
        <v>Recurring</v>
      </c>
      <c r="E85" s="9" t="str">
        <f ca="1">IFERROR(__xludf.DUMMYFUNCTION("""COMPUTED_VALUE"""),"Igloo Intelligent Search (IIS)")</f>
        <v>Igloo Intelligent Search (IIS)</v>
      </c>
      <c r="F85" s="10" t="str">
        <f ca="1">IFERROR(__xludf.DUMMYFUNCTION("""COMPUTED_VALUE"""),"USD")</f>
        <v>USD</v>
      </c>
      <c r="G85" s="8">
        <f ca="1">IFERROR(__xludf.DUMMYFUNCTION("""COMPUTED_VALUE"""),0.02)</f>
        <v>0.02</v>
      </c>
      <c r="H85" s="10">
        <f ca="1">IFERROR(__xludf.DUMMYFUNCTION("""COMPUTED_VALUE"""),0.24)</f>
        <v>0.24</v>
      </c>
    </row>
    <row r="86" spans="1:8">
      <c r="A86" s="8" t="str">
        <f ca="1">IFERROR(__xludf.DUMMYFUNCTION("""COMPUTED_VALUE"""),"AS-IG-IMBLS")</f>
        <v>AS-IG-IMBLS</v>
      </c>
      <c r="B86" s="8" t="str">
        <f ca="1">IFERROR(__xludf.DUMMYFUNCTION("""COMPUTED_VALUE"""),"AS-IG-IMBLS")</f>
        <v>AS-IG-IMBLS</v>
      </c>
      <c r="C86" s="9" t="str">
        <f ca="1">IFERROR(__xludf.DUMMYFUNCTION("""COMPUTED_VALUE"""),"Mobile Implement")</f>
        <v>Mobile Implement</v>
      </c>
      <c r="D86" s="8" t="str">
        <f ca="1">IFERROR(__xludf.DUMMYFUNCTION("""COMPUTED_VALUE"""),"One-Time")</f>
        <v>One-Time</v>
      </c>
      <c r="E86" s="9" t="str">
        <f ca="1">IFERROR(__xludf.DUMMYFUNCTION("""COMPUTED_VALUE"""),"Igloo Mobile Branded Launch Services")</f>
        <v>Igloo Mobile Branded Launch Services</v>
      </c>
      <c r="F86" s="10" t="str">
        <f ca="1">IFERROR(__xludf.DUMMYFUNCTION("""COMPUTED_VALUE"""),"USD")</f>
        <v>USD</v>
      </c>
      <c r="G86" s="8">
        <f ca="1">IFERROR(__xludf.DUMMYFUNCTION("""COMPUTED_VALUE"""),833.33)</f>
        <v>833.33</v>
      </c>
      <c r="H86" s="10">
        <f ca="1">IFERROR(__xludf.DUMMYFUNCTION("""COMPUTED_VALUE"""),833.33)</f>
        <v>833.33</v>
      </c>
    </row>
    <row r="87" spans="1:8">
      <c r="A87" s="8" t="str">
        <f ca="1">IFERROR(__xludf.DUMMYFUNCTION("""COMPUTED_VALUE"""),"AS-IG-MLP-IF")</f>
        <v>AS-IG-MLP-IF</v>
      </c>
      <c r="B87" s="8" t="str">
        <f ca="1">IFERROR(__xludf.DUMMYFUNCTION("""COMPUTED_VALUE"""),"AS-IG-MLP-IF")</f>
        <v>AS-IG-MLP-IF</v>
      </c>
      <c r="C87" s="9" t="str">
        <f ca="1">IFERROR(__xludf.DUMMYFUNCTION("""COMPUTED_VALUE"""),"Flex Migration")</f>
        <v>Flex Migration</v>
      </c>
      <c r="D87" s="8" t="str">
        <f ca="1">IFERROR(__xludf.DUMMYFUNCTION("""COMPUTED_VALUE"""),"One-Time")</f>
        <v>One-Time</v>
      </c>
      <c r="E87" s="9" t="str">
        <f ca="1">IFERROR(__xludf.DUMMYFUNCTION("""COMPUTED_VALUE"""),"Direct Migration From Legacy Platform to Igloo Flex")</f>
        <v>Direct Migration From Legacy Platform to Igloo Flex</v>
      </c>
      <c r="F87" s="10" t="str">
        <f ca="1">IFERROR(__xludf.DUMMYFUNCTION("""COMPUTED_VALUE"""),"USD")</f>
        <v>USD</v>
      </c>
      <c r="G87" s="10">
        <f ca="1">IFERROR(__xludf.DUMMYFUNCTION("""COMPUTED_VALUE"""),50000)</f>
        <v>50000</v>
      </c>
      <c r="H87" s="10">
        <f ca="1">IFERROR(__xludf.DUMMYFUNCTION("""COMPUTED_VALUE"""),50000)</f>
        <v>50000</v>
      </c>
    </row>
    <row r="88" spans="1:8">
      <c r="A88" s="8" t="str">
        <f ca="1">IFERROR(__xludf.DUMMYFUNCTION("""COMPUTED_VALUE"""),"AS-IG-MLP-IF2")</f>
        <v>AS-IG-MLP-IF2</v>
      </c>
      <c r="B88" s="8" t="str">
        <f ca="1">IFERROR(__xludf.DUMMYFUNCTION("""COMPUTED_VALUE"""),"AS-IG-MLP-IF2")</f>
        <v>AS-IG-MLP-IF2</v>
      </c>
      <c r="C88" s="9" t="str">
        <f ca="1">IFERROR(__xludf.DUMMYFUNCTION("""COMPUTED_VALUE"""),"Flex Migration")</f>
        <v>Flex Migration</v>
      </c>
      <c r="D88" s="8" t="str">
        <f ca="1">IFERROR(__xludf.DUMMYFUNCTION("""COMPUTED_VALUE"""),"One-Time")</f>
        <v>One-Time</v>
      </c>
      <c r="E88" s="9" t="str">
        <f ca="1">IFERROR(__xludf.DUMMYFUNCTION("""COMPUTED_VALUE"""),"Evolve Migration From Legacy Platform to Igloo Flex")</f>
        <v>Evolve Migration From Legacy Platform to Igloo Flex</v>
      </c>
      <c r="F88" s="10" t="str">
        <f ca="1">IFERROR(__xludf.DUMMYFUNCTION("""COMPUTED_VALUE"""),"USD")</f>
        <v>USD</v>
      </c>
      <c r="G88" s="10">
        <f ca="1">IFERROR(__xludf.DUMMYFUNCTION("""COMPUTED_VALUE"""),75000)</f>
        <v>75000</v>
      </c>
      <c r="H88" s="10">
        <f ca="1">IFERROR(__xludf.DUMMYFUNCTION("""COMPUTED_VALUE"""),75000)</f>
        <v>75000</v>
      </c>
    </row>
    <row r="89" spans="1:8">
      <c r="A89" s="8" t="str">
        <f ca="1">IFERROR(__xludf.DUMMYFUNCTION("""COMPUTED_VALUE"""),"AS-IG-M-PP-AF")</f>
        <v>AS-IG-M-PP-AF</v>
      </c>
      <c r="B89" s="8" t="str">
        <f ca="1">IFERROR(__xludf.DUMMYFUNCTION("""COMPUTED_VALUE"""),"AS-IG-M-PP-AF")</f>
        <v>AS-IG-M-PP-AF</v>
      </c>
      <c r="C89" s="9" t="str">
        <f ca="1">IFERROR(__xludf.DUMMYFUNCTION("""COMPUTED_VALUE"""),"Premium Profiles Implement")</f>
        <v>Premium Profiles Implement</v>
      </c>
      <c r="D89" s="8" t="str">
        <f ca="1">IFERROR(__xludf.DUMMYFUNCTION("""COMPUTED_VALUE"""),"One-Time")</f>
        <v>One-Time</v>
      </c>
      <c r="E89" s="9" t="str">
        <f ca="1">IFERROR(__xludf.DUMMYFUNCTION("""COMPUTED_VALUE"""),"Module: Premium Profiles - Additional Field Modification")</f>
        <v>Module: Premium Profiles - Additional Field Modification</v>
      </c>
      <c r="F89" s="10" t="str">
        <f ca="1">IFERROR(__xludf.DUMMYFUNCTION("""COMPUTED_VALUE"""),"USD")</f>
        <v>USD</v>
      </c>
      <c r="G89" s="10">
        <f ca="1">IFERROR(__xludf.DUMMYFUNCTION("""COMPUTED_VALUE"""),2500)</f>
        <v>2500</v>
      </c>
      <c r="H89" s="10">
        <f ca="1">IFERROR(__xludf.DUMMYFUNCTION("""COMPUTED_VALUE"""),2500)</f>
        <v>2500</v>
      </c>
    </row>
    <row r="90" spans="1:8">
      <c r="A90" s="8" t="str">
        <f ca="1">IFERROR(__xludf.DUMMYFUNCTION("""COMPUTED_VALUE"""),"AS-M-SEENSPIRE-CARDS")</f>
        <v>AS-M-SEENSPIRE-CARDS</v>
      </c>
      <c r="B90" s="8" t="str">
        <f ca="1">IFERROR(__xludf.DUMMYFUNCTION("""COMPUTED_VALUE"""),"Cards 25")</f>
        <v>Cards 25</v>
      </c>
      <c r="C90" s="9" t="str">
        <f ca="1">IFERROR(__xludf.DUMMYFUNCTION("""COMPUTED_VALUE"""),"Device Add-on")</f>
        <v>Device Add-on</v>
      </c>
      <c r="D90" s="8" t="str">
        <f ca="1">IFERROR(__xludf.DUMMYFUNCTION("""COMPUTED_VALUE"""),"Recurring")</f>
        <v>Recurring</v>
      </c>
      <c r="E90" s="9"/>
      <c r="F90" s="10" t="str">
        <f ca="1">IFERROR(__xludf.DUMMYFUNCTION("""COMPUTED_VALUE"""),"USD")</f>
        <v>USD</v>
      </c>
      <c r="G90" s="10">
        <f ca="1">IFERROR(__xludf.DUMMYFUNCTION("""COMPUTED_VALUE"""),22)</f>
        <v>22</v>
      </c>
      <c r="H90" s="10">
        <f ca="1">IFERROR(__xludf.DUMMYFUNCTION("""COMPUTED_VALUE"""),264)</f>
        <v>264</v>
      </c>
    </row>
    <row r="91" spans="1:8">
      <c r="A91" s="8" t="str">
        <f ca="1">IFERROR(__xludf.DUMMYFUNCTION("""COMPUTED_VALUE"""),"AS-M-SEENSPIRE-CARDS")</f>
        <v>AS-M-SEENSPIRE-CARDS</v>
      </c>
      <c r="B91" s="8" t="str">
        <f ca="1">IFERROR(__xludf.DUMMYFUNCTION("""COMPUTED_VALUE"""),"Cards 25")</f>
        <v>Cards 25</v>
      </c>
      <c r="C91" s="9" t="str">
        <f ca="1">IFERROR(__xludf.DUMMYFUNCTION("""COMPUTED_VALUE"""),"Platform")</f>
        <v>Platform</v>
      </c>
      <c r="D91" s="8" t="str">
        <f ca="1">IFERROR(__xludf.DUMMYFUNCTION("""COMPUTED_VALUE"""),"Recurring")</f>
        <v>Recurring</v>
      </c>
      <c r="E91" s="9"/>
      <c r="F91" s="10" t="str">
        <f ca="1">IFERROR(__xludf.DUMMYFUNCTION("""COMPUTED_VALUE"""),"USD")</f>
        <v>USD</v>
      </c>
      <c r="G91" s="10">
        <f ca="1">IFERROR(__xludf.DUMMYFUNCTION("""COMPUTED_VALUE"""),625)</f>
        <v>625</v>
      </c>
      <c r="H91" s="10">
        <f ca="1">IFERROR(__xludf.DUMMYFUNCTION("""COMPUTED_VALUE"""),7500)</f>
        <v>7500</v>
      </c>
    </row>
    <row r="92" spans="1:8">
      <c r="A92" s="8" t="str">
        <f ca="1">IFERROR(__xludf.DUMMYFUNCTION("""COMPUTED_VALUE"""),"AS-M-SEENSPIRE-CARDS")</f>
        <v>AS-M-SEENSPIRE-CARDS</v>
      </c>
      <c r="B92" s="8" t="str">
        <f ca="1">IFERROR(__xludf.DUMMYFUNCTION("""COMPUTED_VALUE"""),"Cards 50")</f>
        <v>Cards 50</v>
      </c>
      <c r="C92" s="9" t="str">
        <f ca="1">IFERROR(__xludf.DUMMYFUNCTION("""COMPUTED_VALUE"""),"Device Add-on")</f>
        <v>Device Add-on</v>
      </c>
      <c r="D92" s="8" t="str">
        <f ca="1">IFERROR(__xludf.DUMMYFUNCTION("""COMPUTED_VALUE"""),"Recurring")</f>
        <v>Recurring</v>
      </c>
      <c r="E92" s="9"/>
      <c r="F92" s="10" t="str">
        <f ca="1">IFERROR(__xludf.DUMMYFUNCTION("""COMPUTED_VALUE"""),"USD")</f>
        <v>USD</v>
      </c>
      <c r="G92" s="10">
        <f ca="1">IFERROR(__xludf.DUMMYFUNCTION("""COMPUTED_VALUE"""),22)</f>
        <v>22</v>
      </c>
      <c r="H92" s="10">
        <f ca="1">IFERROR(__xludf.DUMMYFUNCTION("""COMPUTED_VALUE"""),264)</f>
        <v>264</v>
      </c>
    </row>
    <row r="93" spans="1:8">
      <c r="A93" s="8" t="str">
        <f ca="1">IFERROR(__xludf.DUMMYFUNCTION("""COMPUTED_VALUE"""),"AS-M-SEENSPIRE-CARDS")</f>
        <v>AS-M-SEENSPIRE-CARDS</v>
      </c>
      <c r="B93" s="8" t="str">
        <f ca="1">IFERROR(__xludf.DUMMYFUNCTION("""COMPUTED_VALUE"""),"Cards 250")</f>
        <v>Cards 250</v>
      </c>
      <c r="C93" s="9" t="str">
        <f ca="1">IFERROR(__xludf.DUMMYFUNCTION("""COMPUTED_VALUE"""),"Device Add-on")</f>
        <v>Device Add-on</v>
      </c>
      <c r="D93" s="8" t="str">
        <f ca="1">IFERROR(__xludf.DUMMYFUNCTION("""COMPUTED_VALUE"""),"Recurring")</f>
        <v>Recurring</v>
      </c>
      <c r="E93" s="9"/>
      <c r="F93" s="10" t="str">
        <f ca="1">IFERROR(__xludf.DUMMYFUNCTION("""COMPUTED_VALUE"""),"USD")</f>
        <v>USD</v>
      </c>
      <c r="G93" s="8">
        <f ca="1">IFERROR(__xludf.DUMMYFUNCTION("""COMPUTED_VALUE"""),10)</f>
        <v>10</v>
      </c>
      <c r="H93" s="10">
        <f ca="1">IFERROR(__xludf.DUMMYFUNCTION("""COMPUTED_VALUE"""),120)</f>
        <v>120</v>
      </c>
    </row>
    <row r="94" spans="1:8">
      <c r="A94" s="8" t="str">
        <f ca="1">IFERROR(__xludf.DUMMYFUNCTION("""COMPUTED_VALUE"""),"AS-M-SEENSPIRE-CARDS")</f>
        <v>AS-M-SEENSPIRE-CARDS</v>
      </c>
      <c r="B94" s="8" t="str">
        <f ca="1">IFERROR(__xludf.DUMMYFUNCTION("""COMPUTED_VALUE"""),"Cards 1000")</f>
        <v>Cards 1000</v>
      </c>
      <c r="C94" s="9" t="str">
        <f ca="1">IFERROR(__xludf.DUMMYFUNCTION("""COMPUTED_VALUE"""),"Device Add-on")</f>
        <v>Device Add-on</v>
      </c>
      <c r="D94" s="8" t="str">
        <f ca="1">IFERROR(__xludf.DUMMYFUNCTION("""COMPUTED_VALUE"""),"Recurring")</f>
        <v>Recurring</v>
      </c>
      <c r="E94" s="9"/>
      <c r="F94" s="10" t="str">
        <f ca="1">IFERROR(__xludf.DUMMYFUNCTION("""COMPUTED_VALUE"""),"USD")</f>
        <v>USD</v>
      </c>
      <c r="G94" s="10">
        <f ca="1">IFERROR(__xludf.DUMMYFUNCTION("""COMPUTED_VALUE"""),5)</f>
        <v>5</v>
      </c>
      <c r="H94" s="10">
        <f ca="1">IFERROR(__xludf.DUMMYFUNCTION("""COMPUTED_VALUE"""),60)</f>
        <v>60</v>
      </c>
    </row>
    <row r="95" spans="1:8">
      <c r="A95" s="8" t="str">
        <f ca="1">IFERROR(__xludf.DUMMYFUNCTION("""COMPUTED_VALUE"""),"AS-M-SEENSPIRE-CARDS")</f>
        <v>AS-M-SEENSPIRE-CARDS</v>
      </c>
      <c r="B95" s="8" t="str">
        <f ca="1">IFERROR(__xludf.DUMMYFUNCTION("""COMPUTED_VALUE"""),"Cards 3000")</f>
        <v>Cards 3000</v>
      </c>
      <c r="C95" s="9" t="str">
        <f ca="1">IFERROR(__xludf.DUMMYFUNCTION("""COMPUTED_VALUE"""),"Device Add-on")</f>
        <v>Device Add-on</v>
      </c>
      <c r="D95" s="8" t="str">
        <f ca="1">IFERROR(__xludf.DUMMYFUNCTION("""COMPUTED_VALUE"""),"Recurring")</f>
        <v>Recurring</v>
      </c>
      <c r="E95" s="9"/>
      <c r="F95" s="10" t="str">
        <f ca="1">IFERROR(__xludf.DUMMYFUNCTION("""COMPUTED_VALUE"""),"USD")</f>
        <v>USD</v>
      </c>
      <c r="G95" s="10">
        <f ca="1">IFERROR(__xludf.DUMMYFUNCTION("""COMPUTED_VALUE"""),3)</f>
        <v>3</v>
      </c>
      <c r="H95" s="10">
        <f ca="1">IFERROR(__xludf.DUMMYFUNCTION("""COMPUTED_VALUE"""),36)</f>
        <v>36</v>
      </c>
    </row>
    <row r="96" spans="1:8">
      <c r="A96" s="8" t="str">
        <f ca="1">IFERROR(__xludf.DUMMYFUNCTION("""COMPUTED_VALUE"""),"AS-M-SEENSPIRE-CARDS")</f>
        <v>AS-M-SEENSPIRE-CARDS</v>
      </c>
      <c r="B96" s="8" t="str">
        <f ca="1">IFERROR(__xludf.DUMMYFUNCTION("""COMPUTED_VALUE"""),"Cards 50")</f>
        <v>Cards 50</v>
      </c>
      <c r="C96" s="9" t="str">
        <f ca="1">IFERROR(__xludf.DUMMYFUNCTION("""COMPUTED_VALUE"""),"Platform")</f>
        <v>Platform</v>
      </c>
      <c r="D96" s="8" t="str">
        <f ca="1">IFERROR(__xludf.DUMMYFUNCTION("""COMPUTED_VALUE"""),"Recurring")</f>
        <v>Recurring</v>
      </c>
      <c r="E96" s="9"/>
      <c r="F96" s="10" t="str">
        <f ca="1">IFERROR(__xludf.DUMMYFUNCTION("""COMPUTED_VALUE"""),"USD")</f>
        <v>USD</v>
      </c>
      <c r="G96" s="10">
        <f ca="1">IFERROR(__xludf.DUMMYFUNCTION("""COMPUTED_VALUE"""),1250)</f>
        <v>1250</v>
      </c>
      <c r="H96" s="10">
        <f ca="1">IFERROR(__xludf.DUMMYFUNCTION("""COMPUTED_VALUE"""),15000)</f>
        <v>15000</v>
      </c>
    </row>
    <row r="97" spans="1:8">
      <c r="A97" s="8" t="str">
        <f ca="1">IFERROR(__xludf.DUMMYFUNCTION("""COMPUTED_VALUE"""),"AS-M-SEENSPIRE-CARDS")</f>
        <v>AS-M-SEENSPIRE-CARDS</v>
      </c>
      <c r="B97" s="8" t="str">
        <f ca="1">IFERROR(__xludf.DUMMYFUNCTION("""COMPUTED_VALUE"""),"Cards 250")</f>
        <v>Cards 250</v>
      </c>
      <c r="C97" s="9" t="str">
        <f ca="1">IFERROR(__xludf.DUMMYFUNCTION("""COMPUTED_VALUE"""),"Platform")</f>
        <v>Platform</v>
      </c>
      <c r="D97" s="8" t="str">
        <f ca="1">IFERROR(__xludf.DUMMYFUNCTION("""COMPUTED_VALUE"""),"Recurring")</f>
        <v>Recurring</v>
      </c>
      <c r="E97" s="9"/>
      <c r="F97" s="10" t="str">
        <f ca="1">IFERROR(__xludf.DUMMYFUNCTION("""COMPUTED_VALUE"""),"USD")</f>
        <v>USD</v>
      </c>
      <c r="G97" s="10">
        <f ca="1">IFERROR(__xludf.DUMMYFUNCTION("""COMPUTED_VALUE"""),2750)</f>
        <v>2750</v>
      </c>
      <c r="H97" s="10">
        <f ca="1">IFERROR(__xludf.DUMMYFUNCTION("""COMPUTED_VALUE"""),33000)</f>
        <v>33000</v>
      </c>
    </row>
    <row r="98" spans="1:8">
      <c r="A98" s="8" t="str">
        <f ca="1">IFERROR(__xludf.DUMMYFUNCTION("""COMPUTED_VALUE"""),"AS-M-SEENSPIRE-CARDS")</f>
        <v>AS-M-SEENSPIRE-CARDS</v>
      </c>
      <c r="B98" s="8" t="str">
        <f ca="1">IFERROR(__xludf.DUMMYFUNCTION("""COMPUTED_VALUE"""),"Cards 1000")</f>
        <v>Cards 1000</v>
      </c>
      <c r="C98" s="9" t="str">
        <f ca="1">IFERROR(__xludf.DUMMYFUNCTION("""COMPUTED_VALUE"""),"Platform")</f>
        <v>Platform</v>
      </c>
      <c r="D98" s="8" t="str">
        <f ca="1">IFERROR(__xludf.DUMMYFUNCTION("""COMPUTED_VALUE"""),"Recurring")</f>
        <v>Recurring</v>
      </c>
      <c r="E98" s="9"/>
      <c r="F98" s="10" t="str">
        <f ca="1">IFERROR(__xludf.DUMMYFUNCTION("""COMPUTED_VALUE"""),"USD")</f>
        <v>USD</v>
      </c>
      <c r="G98" s="10">
        <f ca="1">IFERROR(__xludf.DUMMYFUNCTION("""COMPUTED_VALUE"""),4400)</f>
        <v>4400</v>
      </c>
      <c r="H98" s="10">
        <f ca="1">IFERROR(__xludf.DUMMYFUNCTION("""COMPUTED_VALUE"""),52800)</f>
        <v>52800</v>
      </c>
    </row>
    <row r="99" spans="1:8">
      <c r="A99" s="8" t="str">
        <f ca="1">IFERROR(__xludf.DUMMYFUNCTION("""COMPUTED_VALUE"""),"AS-M-SEENSPIRE-CARDS")</f>
        <v>AS-M-SEENSPIRE-CARDS</v>
      </c>
      <c r="B99" s="8" t="str">
        <f ca="1">IFERROR(__xludf.DUMMYFUNCTION("""COMPUTED_VALUE"""),"Cards 3000")</f>
        <v>Cards 3000</v>
      </c>
      <c r="C99" s="9" t="str">
        <f ca="1">IFERROR(__xludf.DUMMYFUNCTION("""COMPUTED_VALUE"""),"Platform")</f>
        <v>Platform</v>
      </c>
      <c r="D99" s="8" t="str">
        <f ca="1">IFERROR(__xludf.DUMMYFUNCTION("""COMPUTED_VALUE"""),"Recurring")</f>
        <v>Recurring</v>
      </c>
      <c r="E99" s="9"/>
      <c r="F99" s="10" t="str">
        <f ca="1">IFERROR(__xludf.DUMMYFUNCTION("""COMPUTED_VALUE"""),"USD")</f>
        <v>USD</v>
      </c>
      <c r="G99" s="10">
        <f ca="1">IFERROR(__xludf.DUMMYFUNCTION("""COMPUTED_VALUE"""),8800)</f>
        <v>8800</v>
      </c>
      <c r="H99" s="10">
        <f ca="1">IFERROR(__xludf.DUMMYFUNCTION("""COMPUTED_VALUE"""),105600)</f>
        <v>105600</v>
      </c>
    </row>
    <row r="100" spans="1:8">
      <c r="A100" s="8" t="str">
        <f ca="1">IFERROR(__xludf.DUMMYFUNCTION("""COMPUTED_VALUE"""),"AS-OMNI-C-CL")</f>
        <v>AS-OMNI-C-CL</v>
      </c>
      <c r="B100" s="8" t="str">
        <f ca="1">IFERROR(__xludf.DUMMYFUNCTION("""COMPUTED_VALUE"""),"Annual Plan AS-OMNI-C-CL")</f>
        <v>Annual Plan AS-OMNI-C-CL</v>
      </c>
      <c r="C100" s="9" t="str">
        <f ca="1">IFERROR(__xludf.DUMMYFUNCTION("""COMPUTED_VALUE"""),"Platform")</f>
        <v>Platform</v>
      </c>
      <c r="D100" s="8" t="str">
        <f ca="1">IFERROR(__xludf.DUMMYFUNCTION("""COMPUTED_VALUE"""),"Recurring")</f>
        <v>Recurring</v>
      </c>
      <c r="E100" s="9" t="str">
        <f ca="1">IFERROR(__xludf.DUMMYFUNCTION("""COMPUTED_VALUE"""),"Appspace Cloud Subscription. Appspace Cloud access to all Appspace platform features for 50 devices, Premium Support, 50 GB cloud storage, and 50 GB/month cloud bandwidth.")</f>
        <v>Appspace Cloud Subscription. Appspace Cloud access to all Appspace platform features for 50 devices, Premium Support, 50 GB cloud storage, and 50 GB/month cloud bandwidth.</v>
      </c>
      <c r="F100" s="10" t="str">
        <f ca="1">IFERROR(__xludf.DUMMYFUNCTION("""COMPUTED_VALUE"""),"USD")</f>
        <v>USD</v>
      </c>
      <c r="G100" s="10">
        <f ca="1">IFERROR(__xludf.DUMMYFUNCTION("""COMPUTED_VALUE"""),2000)</f>
        <v>2000</v>
      </c>
      <c r="H100" s="10">
        <f ca="1">IFERROR(__xludf.DUMMYFUNCTION("""COMPUTED_VALUE"""),24000)</f>
        <v>24000</v>
      </c>
    </row>
    <row r="101" spans="1:8">
      <c r="A101" s="8" t="str">
        <f ca="1">IFERROR(__xludf.DUMMYFUNCTION("""COMPUTED_VALUE"""),"AS-OMNI-C-CL-EDU")</f>
        <v>AS-OMNI-C-CL-EDU</v>
      </c>
      <c r="B101" s="8" t="str">
        <f ca="1">IFERROR(__xludf.DUMMYFUNCTION("""COMPUTED_VALUE"""),"Annual Plan AS-OMNI-C-CL-EDU")</f>
        <v>Annual Plan AS-OMNI-C-CL-EDU</v>
      </c>
      <c r="C101" s="9" t="str">
        <f ca="1">IFERROR(__xludf.DUMMYFUNCTION("""COMPUTED_VALUE"""),"Platform")</f>
        <v>Platform</v>
      </c>
      <c r="D101" s="8" t="str">
        <f ca="1">IFERROR(__xludf.DUMMYFUNCTION("""COMPUTED_VALUE"""),"Recurring")</f>
        <v>Recurring</v>
      </c>
      <c r="E101" s="9" t="str">
        <f ca="1">IFERROR(__xludf.DUMMYFUNCTION("""COMPUTED_VALUE"""),"Appspace Education Cloud Subscription. Appspace Cloud access to all Appspace platform features for 50 devices, Premium Support, 50 GB cloud storage, and 50 GB/month cloud bandwidth.")</f>
        <v>Appspace Education Cloud Subscription. Appspace Cloud access to all Appspace platform features for 50 devices, Premium Support, 50 GB cloud storage, and 50 GB/month cloud bandwidth.</v>
      </c>
      <c r="F101" s="10" t="str">
        <f ca="1">IFERROR(__xludf.DUMMYFUNCTION("""COMPUTED_VALUE"""),"USD")</f>
        <v>USD</v>
      </c>
      <c r="G101" s="10">
        <f ca="1">IFERROR(__xludf.DUMMYFUNCTION("""COMPUTED_VALUE"""),1800)</f>
        <v>1800</v>
      </c>
      <c r="H101" s="10">
        <f ca="1">IFERROR(__xludf.DUMMYFUNCTION("""COMPUTED_VALUE"""),21600)</f>
        <v>21600</v>
      </c>
    </row>
    <row r="102" spans="1:8">
      <c r="A102" s="8" t="str">
        <f ca="1">IFERROR(__xludf.DUMMYFUNCTION("""COMPUTED_VALUE"""),"AS-OMNI-C-OP")</f>
        <v>AS-OMNI-C-OP</v>
      </c>
      <c r="B102" s="8" t="str">
        <f ca="1">IFERROR(__xludf.DUMMYFUNCTION("""COMPUTED_VALUE"""),"Annual Plan AS-OMNI-C-OP")</f>
        <v>Annual Plan AS-OMNI-C-OP</v>
      </c>
      <c r="C102" s="9" t="str">
        <f ca="1">IFERROR(__xludf.DUMMYFUNCTION("""COMPUTED_VALUE"""),"Platform")</f>
        <v>Platform</v>
      </c>
      <c r="D102" s="8" t="str">
        <f ca="1">IFERROR(__xludf.DUMMYFUNCTION("""COMPUTED_VALUE"""),"Recurring")</f>
        <v>Recurring</v>
      </c>
      <c r="E102" s="9" t="str">
        <f ca="1">IFERROR(__xludf.DUMMYFUNCTION("""COMPUTED_VALUE"""),"Appspace On-Prem Subscription. Self-managed on-prem, cloud or hybrid access to all Appspace platform features for 50 devices, Premium Support, 50 GB cloud storage, and 50 GB/month cloud bandwidth.")</f>
        <v>Appspace On-Prem Subscription. Self-managed on-prem, cloud or hybrid access to all Appspace platform features for 50 devices, Premium Support, 50 GB cloud storage, and 50 GB/month cloud bandwidth.</v>
      </c>
      <c r="F102" s="10" t="str">
        <f ca="1">IFERROR(__xludf.DUMMYFUNCTION("""COMPUTED_VALUE"""),"USD")</f>
        <v>USD</v>
      </c>
      <c r="G102" s="10">
        <f ca="1">IFERROR(__xludf.DUMMYFUNCTION("""COMPUTED_VALUE"""),4000)</f>
        <v>4000</v>
      </c>
      <c r="H102" s="10">
        <f ca="1">IFERROR(__xludf.DUMMYFUNCTION("""COMPUTED_VALUE"""),48000)</f>
        <v>48000</v>
      </c>
    </row>
    <row r="103" spans="1:8">
      <c r="A103" s="8" t="str">
        <f ca="1">IFERROR(__xludf.DUMMYFUNCTION("""COMPUTED_VALUE"""),"AS-OMNI-C-PV")</f>
        <v>AS-OMNI-C-PV</v>
      </c>
      <c r="B103" s="8" t="str">
        <f ca="1">IFERROR(__xludf.DUMMYFUNCTION("""COMPUTED_VALUE"""),"Annual Plan AS-OMNI-C-PV")</f>
        <v>Annual Plan AS-OMNI-C-PV</v>
      </c>
      <c r="C103" s="9" t="str">
        <f ca="1">IFERROR(__xludf.DUMMYFUNCTION("""COMPUTED_VALUE"""),"Platform")</f>
        <v>Platform</v>
      </c>
      <c r="D103" s="8" t="str">
        <f ca="1">IFERROR(__xludf.DUMMYFUNCTION("""COMPUTED_VALUE"""),"Recurring")</f>
        <v>Recurring</v>
      </c>
      <c r="E103" s="9" t="str">
        <f ca="1">IFERROR(__xludf.DUMMYFUNCTION("""COMPUTED_VALUE"""),"Appspace Private Cloud Subscription. Appspace private cloud instance access to all Appspace platform features for 50 devices, Premium Support, 100 GB cloud storage, and 100 GB/month cloud bandwidth.")</f>
        <v>Appspace Private Cloud Subscription. Appspace private cloud instance access to all Appspace platform features for 50 devices, Premium Support, 100 GB cloud storage, and 100 GB/month cloud bandwidth.</v>
      </c>
      <c r="F103" s="10" t="str">
        <f ca="1">IFERROR(__xludf.DUMMYFUNCTION("""COMPUTED_VALUE"""),"USD")</f>
        <v>USD</v>
      </c>
      <c r="G103" s="10">
        <f ca="1">IFERROR(__xludf.DUMMYFUNCTION("""COMPUTED_VALUE"""),3000)</f>
        <v>3000</v>
      </c>
      <c r="H103" s="10">
        <f ca="1">IFERROR(__xludf.DUMMYFUNCTION("""COMPUTED_VALUE"""),36000)</f>
        <v>36000</v>
      </c>
    </row>
    <row r="104" spans="1:8">
      <c r="A104" s="8" t="str">
        <f ca="1">IFERROR(__xludf.DUMMYFUNCTION("""COMPUTED_VALUE"""),"AS-OMNI-C-PV-EDU")</f>
        <v>AS-OMNI-C-PV-EDU</v>
      </c>
      <c r="B104" s="8" t="str">
        <f ca="1">IFERROR(__xludf.DUMMYFUNCTION("""COMPUTED_VALUE"""),"Annual Plan AS-OMNI-C-PV-EDU")</f>
        <v>Annual Plan AS-OMNI-C-PV-EDU</v>
      </c>
      <c r="C104" s="9" t="str">
        <f ca="1">IFERROR(__xludf.DUMMYFUNCTION("""COMPUTED_VALUE"""),"Platform")</f>
        <v>Platform</v>
      </c>
      <c r="D104" s="8" t="str">
        <f ca="1">IFERROR(__xludf.DUMMYFUNCTION("""COMPUTED_VALUE"""),"Recurring")</f>
        <v>Recurring</v>
      </c>
      <c r="E104" s="9" t="str">
        <f ca="1">IFERROR(__xludf.DUMMYFUNCTION("""COMPUTED_VALUE"""),"Appspace Education Private Cloud Subscription. Appspace private cloud instance access to all Appspace platform features for 50 devices, Premium Support, 100 GB cloud storage, and 100 GB/month cloud bandwidth.")</f>
        <v>Appspace Education Private Cloud Subscription. Appspace private cloud instance access to all Appspace platform features for 50 devices, Premium Support, 100 GB cloud storage, and 100 GB/month cloud bandwidth.</v>
      </c>
      <c r="F104" s="10" t="str">
        <f ca="1">IFERROR(__xludf.DUMMYFUNCTION("""COMPUTED_VALUE"""),"USD")</f>
        <v>USD</v>
      </c>
      <c r="G104" s="10">
        <f ca="1">IFERROR(__xludf.DUMMYFUNCTION("""COMPUTED_VALUE"""),2700)</f>
        <v>2700</v>
      </c>
      <c r="H104" s="10">
        <f ca="1">IFERROR(__xludf.DUMMYFUNCTION("""COMPUTED_VALUE"""),32400)</f>
        <v>32400</v>
      </c>
    </row>
    <row r="105" spans="1:8">
      <c r="A105" s="8" t="str">
        <f ca="1">IFERROR(__xludf.DUMMYFUNCTION("""COMPUTED_VALUE"""),"AS-OMNI-D2-CL")</f>
        <v>AS-OMNI-D2-CL</v>
      </c>
      <c r="B105" s="8" t="str">
        <f ca="1">IFERROR(__xludf.DUMMYFUNCTION("""COMPUTED_VALUE"""),"Annual Plan AS-OMNI-D2-CL")</f>
        <v>Annual Plan AS-OMNI-D2-CL</v>
      </c>
      <c r="C105" s="9" t="str">
        <f ca="1">IFERROR(__xludf.DUMMYFUNCTION("""COMPUTED_VALUE"""),"Platform")</f>
        <v>Platform</v>
      </c>
      <c r="D105" s="8" t="str">
        <f ca="1">IFERROR(__xludf.DUMMYFUNCTION("""COMPUTED_VALUE"""),"Recurring")</f>
        <v>Recurring</v>
      </c>
      <c r="E105" s="9" t="str">
        <f ca="1">IFERROR(__xludf.DUMMYFUNCTION("""COMPUTED_VALUE"""),"Appspace Cloud Subscription. Appspace Cloud access to all Appspace platform features for 500 devices, Premium Support, 500 GB cloud storage, and 500 GB/month cloud bandwidth.")</f>
        <v>Appspace Cloud Subscription. Appspace Cloud access to all Appspace platform features for 500 devices, Premium Support, 500 GB cloud storage, and 500 GB/month cloud bandwidth.</v>
      </c>
      <c r="F105" s="10" t="str">
        <f ca="1">IFERROR(__xludf.DUMMYFUNCTION("""COMPUTED_VALUE"""),"USD")</f>
        <v>USD</v>
      </c>
      <c r="G105" s="10">
        <f ca="1">IFERROR(__xludf.DUMMYFUNCTION("""COMPUTED_VALUE"""),7400)</f>
        <v>7400</v>
      </c>
      <c r="H105" s="10">
        <f ca="1">IFERROR(__xludf.DUMMYFUNCTION("""COMPUTED_VALUE"""),88800)</f>
        <v>88800</v>
      </c>
    </row>
    <row r="106" spans="1:8">
      <c r="A106" s="8" t="str">
        <f ca="1">IFERROR(__xludf.DUMMYFUNCTION("""COMPUTED_VALUE"""),"AS-OMNI-D2-OP")</f>
        <v>AS-OMNI-D2-OP</v>
      </c>
      <c r="B106" s="8" t="str">
        <f ca="1">IFERROR(__xludf.DUMMYFUNCTION("""COMPUTED_VALUE"""),"Annual Plan AS-OMNI-D2-OP")</f>
        <v>Annual Plan AS-OMNI-D2-OP</v>
      </c>
      <c r="C106" s="9" t="str">
        <f ca="1">IFERROR(__xludf.DUMMYFUNCTION("""COMPUTED_VALUE"""),"Platform")</f>
        <v>Platform</v>
      </c>
      <c r="D106" s="8" t="str">
        <f ca="1">IFERROR(__xludf.DUMMYFUNCTION("""COMPUTED_VALUE"""),"Recurring")</f>
        <v>Recurring</v>
      </c>
      <c r="E106" s="9" t="str">
        <f ca="1">IFERROR(__xludf.DUMMYFUNCTION("""COMPUTED_VALUE"""),"Appspace On-Prem Subscription. Self-managed on-prem, cloud or hybrid access to all Appspace platform features for 500 devices, Premium Support, 500 GB cloud storage, and 500 GB/month cloud bandwidth.")</f>
        <v>Appspace On-Prem Subscription. Self-managed on-prem, cloud or hybrid access to all Appspace platform features for 500 devices, Premium Support, 500 GB cloud storage, and 500 GB/month cloud bandwidth.</v>
      </c>
      <c r="F106" s="10" t="str">
        <f ca="1">IFERROR(__xludf.DUMMYFUNCTION("""COMPUTED_VALUE"""),"USD")</f>
        <v>USD</v>
      </c>
      <c r="G106" s="10">
        <f ca="1">IFERROR(__xludf.DUMMYFUNCTION("""COMPUTED_VALUE"""),14800)</f>
        <v>14800</v>
      </c>
      <c r="H106" s="10">
        <f ca="1">IFERROR(__xludf.DUMMYFUNCTION("""COMPUTED_VALUE"""),177600)</f>
        <v>177600</v>
      </c>
    </row>
    <row r="107" spans="1:8">
      <c r="A107" s="8" t="str">
        <f ca="1">IFERROR(__xludf.DUMMYFUNCTION("""COMPUTED_VALUE"""),"AS-OMNI-D2-PV")</f>
        <v>AS-OMNI-D2-PV</v>
      </c>
      <c r="B107" s="8" t="str">
        <f ca="1">IFERROR(__xludf.DUMMYFUNCTION("""COMPUTED_VALUE"""),"Annual Plan AS-OMNI-D2-PV")</f>
        <v>Annual Plan AS-OMNI-D2-PV</v>
      </c>
      <c r="C107" s="9" t="str">
        <f ca="1">IFERROR(__xludf.DUMMYFUNCTION("""COMPUTED_VALUE"""),"Platform")</f>
        <v>Platform</v>
      </c>
      <c r="D107" s="8" t="str">
        <f ca="1">IFERROR(__xludf.DUMMYFUNCTION("""COMPUTED_VALUE"""),"Recurring")</f>
        <v>Recurring</v>
      </c>
      <c r="E107" s="9" t="str">
        <f ca="1">IFERROR(__xludf.DUMMYFUNCTION("""COMPUTED_VALUE"""),"Appspace Private Cloud Subscription. Appspace private cloud instance access to all Appspace platform features for 500 devices, Premium Support, 1000 GB cloud storage, and 1000GB/month cloud bandwidth.")</f>
        <v>Appspace Private Cloud Subscription. Appspace private cloud instance access to all Appspace platform features for 500 devices, Premium Support, 1000 GB cloud storage, and 1000GB/month cloud bandwidth.</v>
      </c>
      <c r="F107" s="10" t="str">
        <f ca="1">IFERROR(__xludf.DUMMYFUNCTION("""COMPUTED_VALUE"""),"USD")</f>
        <v>USD</v>
      </c>
      <c r="G107" s="10">
        <f ca="1">IFERROR(__xludf.DUMMYFUNCTION("""COMPUTED_VALUE"""),11100)</f>
        <v>11100</v>
      </c>
      <c r="H107" s="10">
        <f ca="1">IFERROR(__xludf.DUMMYFUNCTION("""COMPUTED_VALUE"""),133200)</f>
        <v>133200</v>
      </c>
    </row>
    <row r="108" spans="1:8">
      <c r="A108" s="8" t="str">
        <f ca="1">IFERROR(__xludf.DUMMYFUNCTION("""COMPUTED_VALUE"""),"AS-OMNI-D-CL")</f>
        <v>AS-OMNI-D-CL</v>
      </c>
      <c r="B108" s="8" t="str">
        <f ca="1">IFERROR(__xludf.DUMMYFUNCTION("""COMPUTED_VALUE"""),"Annual Plan AS-OMNI-D-CL")</f>
        <v>Annual Plan AS-OMNI-D-CL</v>
      </c>
      <c r="C108" s="9" t="str">
        <f ca="1">IFERROR(__xludf.DUMMYFUNCTION("""COMPUTED_VALUE"""),"Platform")</f>
        <v>Platform</v>
      </c>
      <c r="D108" s="8" t="str">
        <f ca="1">IFERROR(__xludf.DUMMYFUNCTION("""COMPUTED_VALUE"""),"Recurring")</f>
        <v>Recurring</v>
      </c>
      <c r="E108" s="9" t="str">
        <f ca="1">IFERROR(__xludf.DUMMYFUNCTION("""COMPUTED_VALUE"""),"Appspace Cloud Subscription. Appspace Cloud access to all Appspace platform features for 250 devices, Premium Support, 250 GB cloud storage, and 250 GB/month cloud bandwidth.")</f>
        <v>Appspace Cloud Subscription. Appspace Cloud access to all Appspace platform features for 250 devices, Premium Support, 250 GB cloud storage, and 250 GB/month cloud bandwidth.</v>
      </c>
      <c r="F108" s="10" t="str">
        <f ca="1">IFERROR(__xludf.DUMMYFUNCTION("""COMPUTED_VALUE"""),"USD")</f>
        <v>USD</v>
      </c>
      <c r="G108" s="10">
        <f ca="1">IFERROR(__xludf.DUMMYFUNCTION("""COMPUTED_VALUE"""),5410)</f>
        <v>5410</v>
      </c>
      <c r="H108" s="10">
        <f ca="1">IFERROR(__xludf.DUMMYFUNCTION("""COMPUTED_VALUE"""),64920)</f>
        <v>64920</v>
      </c>
    </row>
    <row r="109" spans="1:8">
      <c r="A109" s="8" t="str">
        <f ca="1">IFERROR(__xludf.DUMMYFUNCTION("""COMPUTED_VALUE"""),"AS-OMNI-D-CL-EDU")</f>
        <v>AS-OMNI-D-CL-EDU</v>
      </c>
      <c r="B109" s="8" t="str">
        <f ca="1">IFERROR(__xludf.DUMMYFUNCTION("""COMPUTED_VALUE"""),"Annual Plan AS-OMNI-D-CL-EDU")</f>
        <v>Annual Plan AS-OMNI-D-CL-EDU</v>
      </c>
      <c r="C109" s="9" t="str">
        <f ca="1">IFERROR(__xludf.DUMMYFUNCTION("""COMPUTED_VALUE"""),"Platform")</f>
        <v>Platform</v>
      </c>
      <c r="D109" s="8" t="str">
        <f ca="1">IFERROR(__xludf.DUMMYFUNCTION("""COMPUTED_VALUE"""),"Recurring")</f>
        <v>Recurring</v>
      </c>
      <c r="E109" s="9" t="str">
        <f ca="1">IFERROR(__xludf.DUMMYFUNCTION("""COMPUTED_VALUE"""),"Appspace Education Cloud Subscription. Appspace Cloud access to all Appspace platform features for 250 devices, Premium Support, 250 GB cloud storage, and 250 GB/month cloud bandwidth.")</f>
        <v>Appspace Education Cloud Subscription. Appspace Cloud access to all Appspace platform features for 250 devices, Premium Support, 250 GB cloud storage, and 250 GB/month cloud bandwidth.</v>
      </c>
      <c r="F109" s="10" t="str">
        <f ca="1">IFERROR(__xludf.DUMMYFUNCTION("""COMPUTED_VALUE"""),"USD")</f>
        <v>USD</v>
      </c>
      <c r="G109" s="10">
        <f ca="1">IFERROR(__xludf.DUMMYFUNCTION("""COMPUTED_VALUE"""),4869)</f>
        <v>4869</v>
      </c>
      <c r="H109" s="10">
        <f ca="1">IFERROR(__xludf.DUMMYFUNCTION("""COMPUTED_VALUE"""),58428)</f>
        <v>58428</v>
      </c>
    </row>
    <row r="110" spans="1:8">
      <c r="A110" s="8" t="str">
        <f ca="1">IFERROR(__xludf.DUMMYFUNCTION("""COMPUTED_VALUE"""),"AS-OMNI-D-OP")</f>
        <v>AS-OMNI-D-OP</v>
      </c>
      <c r="B110" s="8" t="str">
        <f ca="1">IFERROR(__xludf.DUMMYFUNCTION("""COMPUTED_VALUE"""),"Annual Plan AS-OMNI-D-OP")</f>
        <v>Annual Plan AS-OMNI-D-OP</v>
      </c>
      <c r="C110" s="9" t="str">
        <f ca="1">IFERROR(__xludf.DUMMYFUNCTION("""COMPUTED_VALUE"""),"Platform")</f>
        <v>Platform</v>
      </c>
      <c r="D110" s="8" t="str">
        <f ca="1">IFERROR(__xludf.DUMMYFUNCTION("""COMPUTED_VALUE"""),"Recurring")</f>
        <v>Recurring</v>
      </c>
      <c r="E110" s="9" t="str">
        <f ca="1">IFERROR(__xludf.DUMMYFUNCTION("""COMPUTED_VALUE"""),"Appspace On-Prem Subscription. Self-managed on-prem, cloud or hybrid access to all Appspace platform features for 250 devices, Premium Support, 250 GB cloud storage, and 250 GB/month cloud bandwidth.")</f>
        <v>Appspace On-Prem Subscription. Self-managed on-prem, cloud or hybrid access to all Appspace platform features for 250 devices, Premium Support, 250 GB cloud storage, and 250 GB/month cloud bandwidth.</v>
      </c>
      <c r="F110" s="10" t="str">
        <f ca="1">IFERROR(__xludf.DUMMYFUNCTION("""COMPUTED_VALUE"""),"USD")</f>
        <v>USD</v>
      </c>
      <c r="G110" s="8">
        <f ca="1">IFERROR(__xludf.DUMMYFUNCTION("""COMPUTED_VALUE"""),10820)</f>
        <v>10820</v>
      </c>
      <c r="H110" s="10">
        <f ca="1">IFERROR(__xludf.DUMMYFUNCTION("""COMPUTED_VALUE"""),129840)</f>
        <v>129840</v>
      </c>
    </row>
    <row r="111" spans="1:8">
      <c r="A111" s="8" t="str">
        <f ca="1">IFERROR(__xludf.DUMMYFUNCTION("""COMPUTED_VALUE"""),"AS-OMNI-D-PV")</f>
        <v>AS-OMNI-D-PV</v>
      </c>
      <c r="B111" s="8" t="str">
        <f ca="1">IFERROR(__xludf.DUMMYFUNCTION("""COMPUTED_VALUE"""),"Annual Plan AS-OMNI-D-PV")</f>
        <v>Annual Plan AS-OMNI-D-PV</v>
      </c>
      <c r="C111" s="9" t="str">
        <f ca="1">IFERROR(__xludf.DUMMYFUNCTION("""COMPUTED_VALUE"""),"Platform")</f>
        <v>Platform</v>
      </c>
      <c r="D111" s="8" t="str">
        <f ca="1">IFERROR(__xludf.DUMMYFUNCTION("""COMPUTED_VALUE"""),"Recurring")</f>
        <v>Recurring</v>
      </c>
      <c r="E111" s="9" t="str">
        <f ca="1">IFERROR(__xludf.DUMMYFUNCTION("""COMPUTED_VALUE"""),"Appspace Private Cloud Subscription. Appspace private cloud instance access to all Appspace platform features for 250 devices, Premium Support, 500 GB cloud storage, and 500GB/month cloud bandwidth.")</f>
        <v>Appspace Private Cloud Subscription. Appspace private cloud instance access to all Appspace platform features for 250 devices, Premium Support, 500 GB cloud storage, and 500GB/month cloud bandwidth.</v>
      </c>
      <c r="F111" s="8" t="str">
        <f ca="1">IFERROR(__xludf.DUMMYFUNCTION("""COMPUTED_VALUE"""),"USD")</f>
        <v>USD</v>
      </c>
      <c r="G111" s="8">
        <f ca="1">IFERROR(__xludf.DUMMYFUNCTION("""COMPUTED_VALUE"""),8115)</f>
        <v>8115</v>
      </c>
      <c r="H111" s="10">
        <f ca="1">IFERROR(__xludf.DUMMYFUNCTION("""COMPUTED_VALUE"""),97380)</f>
        <v>97380</v>
      </c>
    </row>
    <row r="112" spans="1:8">
      <c r="A112" s="8" t="str">
        <f ca="1">IFERROR(__xludf.DUMMYFUNCTION("""COMPUTED_VALUE"""),"AS-OMNI-D-PV-EDU")</f>
        <v>AS-OMNI-D-PV-EDU</v>
      </c>
      <c r="B112" s="8" t="str">
        <f ca="1">IFERROR(__xludf.DUMMYFUNCTION("""COMPUTED_VALUE"""),"Annual Plan AS-OMNI-D-PV-EDU")</f>
        <v>Annual Plan AS-OMNI-D-PV-EDU</v>
      </c>
      <c r="C112" s="9" t="str">
        <f ca="1">IFERROR(__xludf.DUMMYFUNCTION("""COMPUTED_VALUE"""),"Platform")</f>
        <v>Platform</v>
      </c>
      <c r="D112" s="8" t="str">
        <f ca="1">IFERROR(__xludf.DUMMYFUNCTION("""COMPUTED_VALUE"""),"Recurring")</f>
        <v>Recurring</v>
      </c>
      <c r="E112" s="9" t="str">
        <f ca="1">IFERROR(__xludf.DUMMYFUNCTION("""COMPUTED_VALUE"""),"Appspace Education Private Cloud Subscription. Appspace private cloud instance access to all Appspace platform features for 250 devices, Premium Support, 500 GB cloud storage, and 500GB/month cloud bandwidth.")</f>
        <v>Appspace Education Private Cloud Subscription. Appspace private cloud instance access to all Appspace platform features for 250 devices, Premium Support, 500 GB cloud storage, and 500GB/month cloud bandwidth.</v>
      </c>
      <c r="F112" s="10" t="str">
        <f ca="1">IFERROR(__xludf.DUMMYFUNCTION("""COMPUTED_VALUE"""),"USD")</f>
        <v>USD</v>
      </c>
      <c r="G112" s="8">
        <f ca="1">IFERROR(__xludf.DUMMYFUNCTION("""COMPUTED_VALUE"""),7304)</f>
        <v>7304</v>
      </c>
      <c r="H112" s="10">
        <f ca="1">IFERROR(__xludf.DUMMYFUNCTION("""COMPUTED_VALUE"""),87648)</f>
        <v>87648</v>
      </c>
    </row>
    <row r="113" spans="1:8">
      <c r="A113" s="8" t="str">
        <f ca="1">IFERROR(__xludf.DUMMYFUNCTION("""COMPUTED_VALUE"""),"AS-OMNI-E2-CL")</f>
        <v>AS-OMNI-E2-CL</v>
      </c>
      <c r="B113" s="8" t="str">
        <f ca="1">IFERROR(__xludf.DUMMYFUNCTION("""COMPUTED_VALUE"""),"Annual Plan AS-OMNI-E2-CL")</f>
        <v>Annual Plan AS-OMNI-E2-CL</v>
      </c>
      <c r="C113" s="9" t="str">
        <f ca="1">IFERROR(__xludf.DUMMYFUNCTION("""COMPUTED_VALUE"""),"Platform")</f>
        <v>Platform</v>
      </c>
      <c r="D113" s="8" t="str">
        <f ca="1">IFERROR(__xludf.DUMMYFUNCTION("""COMPUTED_VALUE"""),"Recurring")</f>
        <v>Recurring</v>
      </c>
      <c r="E113" s="9" t="str">
        <f ca="1">IFERROR(__xludf.DUMMYFUNCTION("""COMPUTED_VALUE"""),"Appspace Cloud Subscription. Appspace Cloud access to all Appspace platform features for 2,000 devices, Elite Support, 2,000 GB cloud storage, and 2,000 GB/month cloud bandwidth.")</f>
        <v>Appspace Cloud Subscription. Appspace Cloud access to all Appspace platform features for 2,000 devices, Elite Support, 2,000 GB cloud storage, and 2,000 GB/month cloud bandwidth.</v>
      </c>
      <c r="F113" s="10" t="str">
        <f ca="1">IFERROR(__xludf.DUMMYFUNCTION("""COMPUTED_VALUE"""),"USD")</f>
        <v>USD</v>
      </c>
      <c r="G113" s="8">
        <f ca="1">IFERROR(__xludf.DUMMYFUNCTION("""COMPUTED_VALUE"""),17090)</f>
        <v>17090</v>
      </c>
      <c r="H113" s="10">
        <f ca="1">IFERROR(__xludf.DUMMYFUNCTION("""COMPUTED_VALUE"""),205080)</f>
        <v>205080</v>
      </c>
    </row>
    <row r="114" spans="1:8">
      <c r="A114" s="8" t="str">
        <f ca="1">IFERROR(__xludf.DUMMYFUNCTION("""COMPUTED_VALUE"""),"AS-OMNI-E2-OP")</f>
        <v>AS-OMNI-E2-OP</v>
      </c>
      <c r="B114" s="8" t="str">
        <f ca="1">IFERROR(__xludf.DUMMYFUNCTION("""COMPUTED_VALUE"""),"Annual Plan AS-OMNI-E2-OP")</f>
        <v>Annual Plan AS-OMNI-E2-OP</v>
      </c>
      <c r="C114" s="9" t="str">
        <f ca="1">IFERROR(__xludf.DUMMYFUNCTION("""COMPUTED_VALUE"""),"Platform")</f>
        <v>Platform</v>
      </c>
      <c r="D114" s="8" t="str">
        <f ca="1">IFERROR(__xludf.DUMMYFUNCTION("""COMPUTED_VALUE"""),"Recurring")</f>
        <v>Recurring</v>
      </c>
      <c r="E114" s="9" t="str">
        <f ca="1">IFERROR(__xludf.DUMMYFUNCTION("""COMPUTED_VALUE"""),"Appspace On-Prem Subscription. Self-managed on-prem, cloud or hybrid access to all Appspace platform features for 2,000 devices, Elite Support, 2,000 GB cloud storage, and 2,000 GB/month cloud bandwidth.")</f>
        <v>Appspace On-Prem Subscription. Self-managed on-prem, cloud or hybrid access to all Appspace platform features for 2,000 devices, Elite Support, 2,000 GB cloud storage, and 2,000 GB/month cloud bandwidth.</v>
      </c>
      <c r="F114" s="10" t="str">
        <f ca="1">IFERROR(__xludf.DUMMYFUNCTION("""COMPUTED_VALUE"""),"USD")</f>
        <v>USD</v>
      </c>
      <c r="G114" s="8">
        <f ca="1">IFERROR(__xludf.DUMMYFUNCTION("""COMPUTED_VALUE"""),34180)</f>
        <v>34180</v>
      </c>
      <c r="H114" s="10">
        <f ca="1">IFERROR(__xludf.DUMMYFUNCTION("""COMPUTED_VALUE"""),410160)</f>
        <v>410160</v>
      </c>
    </row>
    <row r="115" spans="1:8">
      <c r="A115" s="8" t="str">
        <f ca="1">IFERROR(__xludf.DUMMYFUNCTION("""COMPUTED_VALUE"""),"AS-OMNI-E2-PV")</f>
        <v>AS-OMNI-E2-PV</v>
      </c>
      <c r="B115" s="8" t="str">
        <f ca="1">IFERROR(__xludf.DUMMYFUNCTION("""COMPUTED_VALUE"""),"Annual Plan AS-OMNI-E2-PV")</f>
        <v>Annual Plan AS-OMNI-E2-PV</v>
      </c>
      <c r="C115" s="9" t="str">
        <f ca="1">IFERROR(__xludf.DUMMYFUNCTION("""COMPUTED_VALUE"""),"Platform")</f>
        <v>Platform</v>
      </c>
      <c r="D115" s="8" t="str">
        <f ca="1">IFERROR(__xludf.DUMMYFUNCTION("""COMPUTED_VALUE"""),"Recurring")</f>
        <v>Recurring</v>
      </c>
      <c r="E115" s="9" t="str">
        <f ca="1">IFERROR(__xludf.DUMMYFUNCTION("""COMPUTED_VALUE"""),"Appspace Private Cloud Subscription. Appspace private cloud instance access to all Appspace platform features for 2,000 devices, Elite Support, 4,000 GB cloud storage, and 4,000 GB/month cloud bandwidth.")</f>
        <v>Appspace Private Cloud Subscription. Appspace private cloud instance access to all Appspace platform features for 2,000 devices, Elite Support, 4,000 GB cloud storage, and 4,000 GB/month cloud bandwidth.</v>
      </c>
      <c r="F115" s="10" t="str">
        <f ca="1">IFERROR(__xludf.DUMMYFUNCTION("""COMPUTED_VALUE"""),"USD")</f>
        <v>USD</v>
      </c>
      <c r="G115" s="8">
        <f ca="1">IFERROR(__xludf.DUMMYFUNCTION("""COMPUTED_VALUE"""),25635)</f>
        <v>25635</v>
      </c>
      <c r="H115" s="10">
        <f ca="1">IFERROR(__xludf.DUMMYFUNCTION("""COMPUTED_VALUE"""),307620)</f>
        <v>307620</v>
      </c>
    </row>
    <row r="116" spans="1:8">
      <c r="A116" s="8" t="str">
        <f ca="1">IFERROR(__xludf.DUMMYFUNCTION("""COMPUTED_VALUE"""),"AS-OMNI-E-CL")</f>
        <v>AS-OMNI-E-CL</v>
      </c>
      <c r="B116" s="8" t="str">
        <f ca="1">IFERROR(__xludf.DUMMYFUNCTION("""COMPUTED_VALUE"""),"Annual Plan AS-OMNI-E-CL")</f>
        <v>Annual Plan AS-OMNI-E-CL</v>
      </c>
      <c r="C116" s="9" t="str">
        <f ca="1">IFERROR(__xludf.DUMMYFUNCTION("""COMPUTED_VALUE"""),"Platform")</f>
        <v>Platform</v>
      </c>
      <c r="D116" s="8" t="str">
        <f ca="1">IFERROR(__xludf.DUMMYFUNCTION("""COMPUTED_VALUE"""),"Recurring")</f>
        <v>Recurring</v>
      </c>
      <c r="E116" s="9" t="str">
        <f ca="1">IFERROR(__xludf.DUMMYFUNCTION("""COMPUTED_VALUE"""),"Appspace Cloud Subscription. Appspace Cloud access to all Appspace platform features for 1,000 devices, Elite Support, 1,000 GB cloud storage, and 1,000 GB/month cloud bandwidth.")</f>
        <v>Appspace Cloud Subscription. Appspace Cloud access to all Appspace platform features for 1,000 devices, Elite Support, 1,000 GB cloud storage, and 1,000 GB/month cloud bandwidth.</v>
      </c>
      <c r="F116" s="10" t="str">
        <f ca="1">IFERROR(__xludf.DUMMYFUNCTION("""COMPUTED_VALUE"""),"USD")</f>
        <v>USD</v>
      </c>
      <c r="G116" s="8">
        <f ca="1">IFERROR(__xludf.DUMMYFUNCTION("""COMPUTED_VALUE"""),10830)</f>
        <v>10830</v>
      </c>
      <c r="H116" s="10">
        <f ca="1">IFERROR(__xludf.DUMMYFUNCTION("""COMPUTED_VALUE"""),129960)</f>
        <v>129960</v>
      </c>
    </row>
    <row r="117" spans="1:8">
      <c r="A117" s="8" t="str">
        <f ca="1">IFERROR(__xludf.DUMMYFUNCTION("""COMPUTED_VALUE"""),"AS-OMNI-E-CL-EDU")</f>
        <v>AS-OMNI-E-CL-EDU</v>
      </c>
      <c r="B117" s="8" t="str">
        <f ca="1">IFERROR(__xludf.DUMMYFUNCTION("""COMPUTED_VALUE"""),"Annual Plan AS-OMNI-E-CL-EDU")</f>
        <v>Annual Plan AS-OMNI-E-CL-EDU</v>
      </c>
      <c r="C117" s="9" t="str">
        <f ca="1">IFERROR(__xludf.DUMMYFUNCTION("""COMPUTED_VALUE"""),"Platform")</f>
        <v>Platform</v>
      </c>
      <c r="D117" s="8" t="str">
        <f ca="1">IFERROR(__xludf.DUMMYFUNCTION("""COMPUTED_VALUE"""),"Recurring")</f>
        <v>Recurring</v>
      </c>
      <c r="E117" s="9" t="str">
        <f ca="1">IFERROR(__xludf.DUMMYFUNCTION("""COMPUTED_VALUE"""),"Appspace Education Cloud Subscription. Appspace Cloud access to all Appspace platform features for 1,000 devices, Elite Support, 1,000 GB cloud storage, and 1,000 GB/month cloud bandwidth.")</f>
        <v>Appspace Education Cloud Subscription. Appspace Cloud access to all Appspace platform features for 1,000 devices, Elite Support, 1,000 GB cloud storage, and 1,000 GB/month cloud bandwidth.</v>
      </c>
      <c r="F117" s="10" t="str">
        <f ca="1">IFERROR(__xludf.DUMMYFUNCTION("""COMPUTED_VALUE"""),"USD")</f>
        <v>USD</v>
      </c>
      <c r="G117" s="8">
        <f ca="1">IFERROR(__xludf.DUMMYFUNCTION("""COMPUTED_VALUE"""),9747)</f>
        <v>9747</v>
      </c>
      <c r="H117" s="10">
        <f ca="1">IFERROR(__xludf.DUMMYFUNCTION("""COMPUTED_VALUE"""),116964)</f>
        <v>116964</v>
      </c>
    </row>
    <row r="118" spans="1:8">
      <c r="A118" s="8" t="str">
        <f ca="1">IFERROR(__xludf.DUMMYFUNCTION("""COMPUTED_VALUE"""),"AS-OMNI-E-OP")</f>
        <v>AS-OMNI-E-OP</v>
      </c>
      <c r="B118" s="8" t="str">
        <f ca="1">IFERROR(__xludf.DUMMYFUNCTION("""COMPUTED_VALUE"""),"Annual Plan AS-OMNI-E-OP")</f>
        <v>Annual Plan AS-OMNI-E-OP</v>
      </c>
      <c r="C118" s="9" t="str">
        <f ca="1">IFERROR(__xludf.DUMMYFUNCTION("""COMPUTED_VALUE"""),"Platform")</f>
        <v>Platform</v>
      </c>
      <c r="D118" s="8" t="str">
        <f ca="1">IFERROR(__xludf.DUMMYFUNCTION("""COMPUTED_VALUE"""),"Recurring")</f>
        <v>Recurring</v>
      </c>
      <c r="E118" s="9" t="str">
        <f ca="1">IFERROR(__xludf.DUMMYFUNCTION("""COMPUTED_VALUE"""),"Appspace On-Prem Subscription. Self-managed on-prem, cloud or hybrid access to all Appspace platform features for 1,000 devices, Elite Support, 1,000 GB cloud storage, and 1,000 GB/month cloud bandwidth.")</f>
        <v>Appspace On-Prem Subscription. Self-managed on-prem, cloud or hybrid access to all Appspace platform features for 1,000 devices, Elite Support, 1,000 GB cloud storage, and 1,000 GB/month cloud bandwidth.</v>
      </c>
      <c r="F118" s="10" t="str">
        <f ca="1">IFERROR(__xludf.DUMMYFUNCTION("""COMPUTED_VALUE"""),"USD")</f>
        <v>USD</v>
      </c>
      <c r="G118" s="8">
        <f ca="1">IFERROR(__xludf.DUMMYFUNCTION("""COMPUTED_VALUE"""),21660)</f>
        <v>21660</v>
      </c>
      <c r="H118" s="10">
        <f ca="1">IFERROR(__xludf.DUMMYFUNCTION("""COMPUTED_VALUE"""),259920)</f>
        <v>259920</v>
      </c>
    </row>
    <row r="119" spans="1:8">
      <c r="A119" s="8" t="str">
        <f ca="1">IFERROR(__xludf.DUMMYFUNCTION("""COMPUTED_VALUE"""),"AS-OMNI-E-PV")</f>
        <v>AS-OMNI-E-PV</v>
      </c>
      <c r="B119" s="8" t="str">
        <f ca="1">IFERROR(__xludf.DUMMYFUNCTION("""COMPUTED_VALUE"""),"Annual Plan AS-OMNI-E-PV")</f>
        <v>Annual Plan AS-OMNI-E-PV</v>
      </c>
      <c r="C119" s="9" t="str">
        <f ca="1">IFERROR(__xludf.DUMMYFUNCTION("""COMPUTED_VALUE"""),"Platform")</f>
        <v>Platform</v>
      </c>
      <c r="D119" s="8" t="str">
        <f ca="1">IFERROR(__xludf.DUMMYFUNCTION("""COMPUTED_VALUE"""),"Recurring")</f>
        <v>Recurring</v>
      </c>
      <c r="E119" s="9" t="str">
        <f ca="1">IFERROR(__xludf.DUMMYFUNCTION("""COMPUTED_VALUE"""),"Appspace Private Cloud Subscription. Appspace private cloud instance access to all Appspace platform features for 1,000 devices, Elite Support, 2,000 GB cloud storage, and 2,000 GB/month cloud bandwidth.")</f>
        <v>Appspace Private Cloud Subscription. Appspace private cloud instance access to all Appspace platform features for 1,000 devices, Elite Support, 2,000 GB cloud storage, and 2,000 GB/month cloud bandwidth.</v>
      </c>
      <c r="F119" s="10" t="str">
        <f ca="1">IFERROR(__xludf.DUMMYFUNCTION("""COMPUTED_VALUE"""),"USD")</f>
        <v>USD</v>
      </c>
      <c r="G119" s="8">
        <f ca="1">IFERROR(__xludf.DUMMYFUNCTION("""COMPUTED_VALUE"""),16245)</f>
        <v>16245</v>
      </c>
      <c r="H119" s="10">
        <f ca="1">IFERROR(__xludf.DUMMYFUNCTION("""COMPUTED_VALUE"""),194940)</f>
        <v>194940</v>
      </c>
    </row>
    <row r="120" spans="1:8">
      <c r="A120" s="8" t="str">
        <f ca="1">IFERROR(__xludf.DUMMYFUNCTION("""COMPUTED_VALUE"""),"AS-OMNI-E-PV-EDU")</f>
        <v>AS-OMNI-E-PV-EDU</v>
      </c>
      <c r="B120" s="8" t="str">
        <f ca="1">IFERROR(__xludf.DUMMYFUNCTION("""COMPUTED_VALUE"""),"Annual Plan AS-OMNI-E-PV-EDU")</f>
        <v>Annual Plan AS-OMNI-E-PV-EDU</v>
      </c>
      <c r="C120" s="9" t="str">
        <f ca="1">IFERROR(__xludf.DUMMYFUNCTION("""COMPUTED_VALUE"""),"Platform")</f>
        <v>Platform</v>
      </c>
      <c r="D120" s="8" t="str">
        <f ca="1">IFERROR(__xludf.DUMMYFUNCTION("""COMPUTED_VALUE"""),"Recurring")</f>
        <v>Recurring</v>
      </c>
      <c r="E120" s="9" t="str">
        <f ca="1">IFERROR(__xludf.DUMMYFUNCTION("""COMPUTED_VALUE"""),"Appspace Education Private Cloud Subscription. Appspace private cloud instance access to all Appspace platform features for 1,000 devices, Elite Support, 2,000 GB cloud storage, and 2,000 GB/month cloud bandwidth.")</f>
        <v>Appspace Education Private Cloud Subscription. Appspace private cloud instance access to all Appspace platform features for 1,000 devices, Elite Support, 2,000 GB cloud storage, and 2,000 GB/month cloud bandwidth.</v>
      </c>
      <c r="F120" s="10" t="str">
        <f ca="1">IFERROR(__xludf.DUMMYFUNCTION("""COMPUTED_VALUE"""),"USD")</f>
        <v>USD</v>
      </c>
      <c r="G120" s="8">
        <f ca="1">IFERROR(__xludf.DUMMYFUNCTION("""COMPUTED_VALUE"""),14620)</f>
        <v>14620</v>
      </c>
      <c r="H120" s="10">
        <f ca="1">IFERROR(__xludf.DUMMYFUNCTION("""COMPUTED_VALUE"""),175440)</f>
        <v>175440</v>
      </c>
    </row>
    <row r="121" spans="1:8">
      <c r="A121" s="8" t="str">
        <f ca="1">IFERROR(__xludf.DUMMYFUNCTION("""COMPUTED_VALUE"""),"AS-OMNI-F-CL")</f>
        <v>AS-OMNI-F-CL</v>
      </c>
      <c r="B121" s="8" t="str">
        <f ca="1">IFERROR(__xludf.DUMMYFUNCTION("""COMPUTED_VALUE"""),"Annual Plan AS-OMNI-F-CL")</f>
        <v>Annual Plan AS-OMNI-F-CL</v>
      </c>
      <c r="C121" s="9" t="str">
        <f ca="1">IFERROR(__xludf.DUMMYFUNCTION("""COMPUTED_VALUE"""),"Platform")</f>
        <v>Platform</v>
      </c>
      <c r="D121" s="8" t="str">
        <f ca="1">IFERROR(__xludf.DUMMYFUNCTION("""COMPUTED_VALUE"""),"Recurring")</f>
        <v>Recurring</v>
      </c>
      <c r="E121" s="9" t="str">
        <f ca="1">IFERROR(__xludf.DUMMYFUNCTION("""COMPUTED_VALUE"""),"Appspace Cloud Subscription. Appspace Cloud access to all Appspace platform features for 3,000 devices, Elite Support, 3,000 GB cloud storage, and 3,000 GB/month cloud bandwidth.")</f>
        <v>Appspace Cloud Subscription. Appspace Cloud access to all Appspace platform features for 3,000 devices, Elite Support, 3,000 GB cloud storage, and 3,000 GB/month cloud bandwidth.</v>
      </c>
      <c r="F121" s="10" t="str">
        <f ca="1">IFERROR(__xludf.DUMMYFUNCTION("""COMPUTED_VALUE"""),"USD")</f>
        <v>USD</v>
      </c>
      <c r="G121" s="8">
        <f ca="1">IFERROR(__xludf.DUMMYFUNCTION("""COMPUTED_VALUE"""),22220)</f>
        <v>22220</v>
      </c>
      <c r="H121" s="10">
        <f ca="1">IFERROR(__xludf.DUMMYFUNCTION("""COMPUTED_VALUE"""),266640)</f>
        <v>266640</v>
      </c>
    </row>
    <row r="122" spans="1:8">
      <c r="A122" s="8" t="str">
        <f ca="1">IFERROR(__xludf.DUMMYFUNCTION("""COMPUTED_VALUE"""),"AS-OMNI-F-CL-EDU")</f>
        <v>AS-OMNI-F-CL-EDU</v>
      </c>
      <c r="B122" s="8" t="str">
        <f ca="1">IFERROR(__xludf.DUMMYFUNCTION("""COMPUTED_VALUE"""),"Annual Plan AS-OMNI-F-CL-EDU")</f>
        <v>Annual Plan AS-OMNI-F-CL-EDU</v>
      </c>
      <c r="C122" s="9" t="str">
        <f ca="1">IFERROR(__xludf.DUMMYFUNCTION("""COMPUTED_VALUE"""),"Platform")</f>
        <v>Platform</v>
      </c>
      <c r="D122" s="8" t="str">
        <f ca="1">IFERROR(__xludf.DUMMYFUNCTION("""COMPUTED_VALUE"""),"Recurring")</f>
        <v>Recurring</v>
      </c>
      <c r="E122" s="9" t="str">
        <f ca="1">IFERROR(__xludf.DUMMYFUNCTION("""COMPUTED_VALUE"""),"Appspace Education Cloud Subscription. Appspace Cloud access to all Appspace platform features for 3,000 devices, Elite Support, 3,000 GB cloud storage, and 3,000 GB/month cloud bandwidth.")</f>
        <v>Appspace Education Cloud Subscription. Appspace Cloud access to all Appspace platform features for 3,000 devices, Elite Support, 3,000 GB cloud storage, and 3,000 GB/month cloud bandwidth.</v>
      </c>
      <c r="F122" s="10" t="str">
        <f ca="1">IFERROR(__xludf.DUMMYFUNCTION("""COMPUTED_VALUE"""),"USD")</f>
        <v>USD</v>
      </c>
      <c r="G122" s="8">
        <f ca="1">IFERROR(__xludf.DUMMYFUNCTION("""COMPUTED_VALUE"""),20000)</f>
        <v>20000</v>
      </c>
      <c r="H122" s="10">
        <f ca="1">IFERROR(__xludf.DUMMYFUNCTION("""COMPUTED_VALUE"""),240000)</f>
        <v>240000</v>
      </c>
    </row>
    <row r="123" spans="1:8">
      <c r="A123" s="8" t="str">
        <f ca="1">IFERROR(__xludf.DUMMYFUNCTION("""COMPUTED_VALUE"""),"AS-OMNI-F-OP")</f>
        <v>AS-OMNI-F-OP</v>
      </c>
      <c r="B123" s="8" t="str">
        <f ca="1">IFERROR(__xludf.DUMMYFUNCTION("""COMPUTED_VALUE"""),"Annual Plan AS-OMNI-F-OP")</f>
        <v>Annual Plan AS-OMNI-F-OP</v>
      </c>
      <c r="C123" s="9" t="str">
        <f ca="1">IFERROR(__xludf.DUMMYFUNCTION("""COMPUTED_VALUE"""),"Platform")</f>
        <v>Platform</v>
      </c>
      <c r="D123" s="8" t="str">
        <f ca="1">IFERROR(__xludf.DUMMYFUNCTION("""COMPUTED_VALUE"""),"Recurring")</f>
        <v>Recurring</v>
      </c>
      <c r="E123" s="9" t="str">
        <f ca="1">IFERROR(__xludf.DUMMYFUNCTION("""COMPUTED_VALUE"""),"Appspace On-Prem Subscription. Self-managed on-prem, cloud or hybrid access to all Appspace platform features for 3,000 devices, Elite Support, 3,000 GB cloud storage, and 3,000 GB/month cloud bandwidth.")</f>
        <v>Appspace On-Prem Subscription. Self-managed on-prem, cloud or hybrid access to all Appspace platform features for 3,000 devices, Elite Support, 3,000 GB cloud storage, and 3,000 GB/month cloud bandwidth.</v>
      </c>
      <c r="F123" s="10" t="str">
        <f ca="1">IFERROR(__xludf.DUMMYFUNCTION("""COMPUTED_VALUE"""),"USD")</f>
        <v>USD</v>
      </c>
      <c r="G123" s="8">
        <f ca="1">IFERROR(__xludf.DUMMYFUNCTION("""COMPUTED_VALUE"""),44440)</f>
        <v>44440</v>
      </c>
      <c r="H123" s="10">
        <f ca="1">IFERROR(__xludf.DUMMYFUNCTION("""COMPUTED_VALUE"""),533280)</f>
        <v>533280</v>
      </c>
    </row>
    <row r="124" spans="1:8">
      <c r="A124" s="8" t="str">
        <f ca="1">IFERROR(__xludf.DUMMYFUNCTION("""COMPUTED_VALUE"""),"AS-OMNI-F-PV")</f>
        <v>AS-OMNI-F-PV</v>
      </c>
      <c r="B124" s="8" t="str">
        <f ca="1">IFERROR(__xludf.DUMMYFUNCTION("""COMPUTED_VALUE"""),"Annual Plan AS-OMNI-F-PV")</f>
        <v>Annual Plan AS-OMNI-F-PV</v>
      </c>
      <c r="C124" s="9" t="str">
        <f ca="1">IFERROR(__xludf.DUMMYFUNCTION("""COMPUTED_VALUE"""),"Platform")</f>
        <v>Platform</v>
      </c>
      <c r="D124" s="8" t="str">
        <f ca="1">IFERROR(__xludf.DUMMYFUNCTION("""COMPUTED_VALUE"""),"Recurring")</f>
        <v>Recurring</v>
      </c>
      <c r="E124" s="9" t="str">
        <f ca="1">IFERROR(__xludf.DUMMYFUNCTION("""COMPUTED_VALUE"""),"Appspace Private Cloud Subscription. Appspace private cloud instance access to all Appspace platform features for 3,000 devices, Elite Support, 6,000 GB cloud storage, and 6,000 GB/month cloud bandwidth.")</f>
        <v>Appspace Private Cloud Subscription. Appspace private cloud instance access to all Appspace platform features for 3,000 devices, Elite Support, 6,000 GB cloud storage, and 6,000 GB/month cloud bandwidth.</v>
      </c>
      <c r="F124" s="8" t="str">
        <f ca="1">IFERROR(__xludf.DUMMYFUNCTION("""COMPUTED_VALUE"""),"USD")</f>
        <v>USD</v>
      </c>
      <c r="G124" s="8">
        <f ca="1">IFERROR(__xludf.DUMMYFUNCTION("""COMPUTED_VALUE"""),33330)</f>
        <v>33330</v>
      </c>
      <c r="H124" s="10">
        <f ca="1">IFERROR(__xludf.DUMMYFUNCTION("""COMPUTED_VALUE"""),399960)</f>
        <v>399960</v>
      </c>
    </row>
    <row r="125" spans="1:8">
      <c r="A125" s="8" t="str">
        <f ca="1">IFERROR(__xludf.DUMMYFUNCTION("""COMPUTED_VALUE"""),"AS-OMNI-F-PV-EDU")</f>
        <v>AS-OMNI-F-PV-EDU</v>
      </c>
      <c r="B125" s="8" t="str">
        <f ca="1">IFERROR(__xludf.DUMMYFUNCTION("""COMPUTED_VALUE"""),"Annual Plan AS-OMNI-F-PV-EDU")</f>
        <v>Annual Plan AS-OMNI-F-PV-EDU</v>
      </c>
      <c r="C125" s="9" t="str">
        <f ca="1">IFERROR(__xludf.DUMMYFUNCTION("""COMPUTED_VALUE"""),"Platform")</f>
        <v>Platform</v>
      </c>
      <c r="D125" s="8" t="str">
        <f ca="1">IFERROR(__xludf.DUMMYFUNCTION("""COMPUTED_VALUE"""),"Recurring")</f>
        <v>Recurring</v>
      </c>
      <c r="E125" s="9" t="str">
        <f ca="1">IFERROR(__xludf.DUMMYFUNCTION("""COMPUTED_VALUE"""),"Appspace Education Private Cloud Subscription. Appspace private cloud instance access to all Appspace platform features for 3,000 devices, Elite Support, 6,000 GB cloud storage, and 6,000 GB/month cloud bandwidth.")</f>
        <v>Appspace Education Private Cloud Subscription. Appspace private cloud instance access to all Appspace platform features for 3,000 devices, Elite Support, 6,000 GB cloud storage, and 6,000 GB/month cloud bandwidth.</v>
      </c>
      <c r="F125" s="8" t="str">
        <f ca="1">IFERROR(__xludf.DUMMYFUNCTION("""COMPUTED_VALUE"""),"USD")</f>
        <v>USD</v>
      </c>
      <c r="G125" s="8">
        <f ca="1">IFERROR(__xludf.DUMMYFUNCTION("""COMPUTED_VALUE"""),30000)</f>
        <v>30000</v>
      </c>
      <c r="H125" s="10">
        <f ca="1">IFERROR(__xludf.DUMMYFUNCTION("""COMPUTED_VALUE"""),360000)</f>
        <v>360000</v>
      </c>
    </row>
    <row r="126" spans="1:8">
      <c r="A126" s="8" t="str">
        <f ca="1">IFERROR(__xludf.DUMMYFUNCTION("""COMPUTED_VALUE"""),"AS-RP-1000")</f>
        <v>AS-RP-1000</v>
      </c>
      <c r="B126" s="8" t="str">
        <f ca="1">IFERROR(__xludf.DUMMYFUNCTION("""COMPUTED_VALUE"""),"Annual Plan AS-RP-1000")</f>
        <v>Annual Plan AS-RP-1000</v>
      </c>
      <c r="C126" s="9" t="str">
        <f ca="1">IFERROR(__xludf.DUMMYFUNCTION("""COMPUTED_VALUE"""),"Resource Pack")</f>
        <v>Resource Pack</v>
      </c>
      <c r="D126" s="8" t="str">
        <f ca="1">IFERROR(__xludf.DUMMYFUNCTION("""COMPUTED_VALUE"""),"Recurring")</f>
        <v>Recurring</v>
      </c>
      <c r="E126" s="9" t="str">
        <f ca="1">IFERROR(__xludf.DUMMYFUNCTION("""COMPUTED_VALUE"""),"Appspace Resource Pack. Adds an extra 1,000 GB per month of bandwidth and 1,000 GB of storage on top of any Omni subscription plan.")</f>
        <v>Appspace Resource Pack. Adds an extra 1,000 GB per month of bandwidth and 1,000 GB of storage on top of any Omni subscription plan.</v>
      </c>
      <c r="F126" s="8" t="str">
        <f ca="1">IFERROR(__xludf.DUMMYFUNCTION("""COMPUTED_VALUE"""),"USD")</f>
        <v>USD</v>
      </c>
      <c r="G126" s="8">
        <f ca="1">IFERROR(__xludf.DUMMYFUNCTION("""COMPUTED_VALUE"""),200)</f>
        <v>200</v>
      </c>
      <c r="H126" s="10">
        <f ca="1">IFERROR(__xludf.DUMMYFUNCTION("""COMPUTED_VALUE"""),2400)</f>
        <v>2400</v>
      </c>
    </row>
    <row r="127" spans="1:8">
      <c r="A127" s="8" t="str">
        <f ca="1">IFERROR(__xludf.DUMMYFUNCTION("""COMPUTED_VALUE"""),"AS-ST-GB")</f>
        <v>AS-ST-GB</v>
      </c>
      <c r="B127" s="8" t="str">
        <f ca="1">IFERROR(__xludf.DUMMYFUNCTION("""COMPUTED_VALUE"""),"Annual Plan AS-ST-GB")</f>
        <v>Annual Plan AS-ST-GB</v>
      </c>
      <c r="C127" s="9" t="str">
        <f ca="1">IFERROR(__xludf.DUMMYFUNCTION("""COMPUTED_VALUE"""),"Storage")</f>
        <v>Storage</v>
      </c>
      <c r="D127" s="8" t="str">
        <f ca="1">IFERROR(__xludf.DUMMYFUNCTION("""COMPUTED_VALUE"""),"Recurring")</f>
        <v>Recurring</v>
      </c>
      <c r="E127" s="9" t="str">
        <f ca="1">IFERROR(__xludf.DUMMYFUNCTION("""COMPUTED_VALUE"""),"Monthly storage allocation (1 GB/month)")</f>
        <v>Monthly storage allocation (1 GB/month)</v>
      </c>
      <c r="F127" s="8" t="str">
        <f ca="1">IFERROR(__xludf.DUMMYFUNCTION("""COMPUTED_VALUE"""),"USD")</f>
        <v>USD</v>
      </c>
      <c r="G127" s="8">
        <f ca="1">IFERROR(__xludf.DUMMYFUNCTION("""COMPUTED_VALUE"""),0.1)</f>
        <v>0.1</v>
      </c>
      <c r="H127" s="8">
        <f ca="1">IFERROR(__xludf.DUMMYFUNCTION("""COMPUTED_VALUE"""),1.2)</f>
        <v>1.2</v>
      </c>
    </row>
    <row r="128" spans="1:8">
      <c r="A128" s="8" t="str">
        <f ca="1">IFERROR(__xludf.DUMMYFUNCTION("""COMPUTED_VALUE"""),"AS-SVC-CC")</f>
        <v>AS-SVC-CC</v>
      </c>
      <c r="B128" s="8" t="str">
        <f ca="1">IFERROR(__xludf.DUMMYFUNCTION("""COMPUTED_VALUE"""),"Annual Plan AS-SVC-CC")</f>
        <v>Annual Plan AS-SVC-CC</v>
      </c>
      <c r="C128" s="9" t="str">
        <f ca="1">IFERROR(__xludf.DUMMYFUNCTION("""COMPUTED_VALUE"""),"Complete Care")</f>
        <v>Complete Care</v>
      </c>
      <c r="D128" s="8" t="str">
        <f ca="1">IFERROR(__xludf.DUMMYFUNCTION("""COMPUTED_VALUE"""),"Recurring")</f>
        <v>Recurring</v>
      </c>
      <c r="E128" s="9" t="str">
        <f ca="1">IFERROR(__xludf.DUMMYFUNCTION("""COMPUTED_VALUE"""),"Complete Care")</f>
        <v>Complete Care</v>
      </c>
      <c r="F128" s="8" t="str">
        <f ca="1">IFERROR(__xludf.DUMMYFUNCTION("""COMPUTED_VALUE"""),"USD")</f>
        <v>USD</v>
      </c>
      <c r="G128" s="8">
        <f ca="1">IFERROR(__xludf.DUMMYFUNCTION("""COMPUTED_VALUE"""),30)</f>
        <v>30</v>
      </c>
      <c r="H128" s="10">
        <f ca="1">IFERROR(__xludf.DUMMYFUNCTION("""COMPUTED_VALUE"""),360)</f>
        <v>360</v>
      </c>
    </row>
    <row r="129" spans="1:8">
      <c r="A129" s="8" t="str">
        <f ca="1">IFERROR(__xludf.DUMMYFUNCTION("""COMPUTED_VALUE"""),"AS-SVC-COM-ADVISORY")</f>
        <v>AS-SVC-COM-ADVISORY</v>
      </c>
      <c r="B129" s="8" t="str">
        <f ca="1">IFERROR(__xludf.DUMMYFUNCTION("""COMPUTED_VALUE"""),"Annual Plan AS-SVC-COM-ADVISORY")</f>
        <v>Annual Plan AS-SVC-COM-ADVISORY</v>
      </c>
      <c r="C129" s="9" t="str">
        <f ca="1">IFERROR(__xludf.DUMMYFUNCTION("""COMPUTED_VALUE"""),"Workplace Communications Advisory")</f>
        <v>Workplace Communications Advisory</v>
      </c>
      <c r="D129" s="8" t="str">
        <f ca="1">IFERROR(__xludf.DUMMYFUNCTION("""COMPUTED_VALUE"""),"Recurring")</f>
        <v>Recurring</v>
      </c>
      <c r="E129" s="9" t="str">
        <f ca="1">IFERROR(__xludf.DUMMYFUNCTION("""COMPUTED_VALUE"""),"Workplace Communications Advisory - Comprehensive communications strategy for your digital and physical workplaces. Ongoing strategic insights into platform usage, industry trends, and product development.")</f>
        <v>Workplace Communications Advisory - Comprehensive communications strategy for your digital and physical workplaces. Ongoing strategic insights into platform usage, industry trends, and product development.</v>
      </c>
      <c r="F129" s="8" t="str">
        <f ca="1">IFERROR(__xludf.DUMMYFUNCTION("""COMPUTED_VALUE"""),"USD")</f>
        <v>USD</v>
      </c>
      <c r="G129" s="8">
        <f ca="1">IFERROR(__xludf.DUMMYFUNCTION("""COMPUTED_VALUE"""),2500)</f>
        <v>2500</v>
      </c>
      <c r="H129" s="10">
        <f ca="1">IFERROR(__xludf.DUMMYFUNCTION("""COMPUTED_VALUE"""),30000)</f>
        <v>30000</v>
      </c>
    </row>
    <row r="130" spans="1:8">
      <c r="A130" s="8" t="str">
        <f ca="1">IFERROR(__xludf.DUMMYFUNCTION("""COMPUTED_VALUE"""),"AS-SVC-COM-QST-BASIC")</f>
        <v>AS-SVC-COM-QST-BASIC</v>
      </c>
      <c r="B130" s="8" t="str">
        <f ca="1">IFERROR(__xludf.DUMMYFUNCTION("""COMPUTED_VALUE"""),"AS-SVC-COM-QST-BASIC")</f>
        <v>AS-SVC-COM-QST-BASIC</v>
      </c>
      <c r="C130" s="9" t="str">
        <f ca="1">IFERROR(__xludf.DUMMYFUNCTION("""COMPUTED_VALUE"""),"Workplace Comms Quick Start Basic")</f>
        <v>Workplace Comms Quick Start Basic</v>
      </c>
      <c r="D130" s="8" t="str">
        <f ca="1">IFERROR(__xludf.DUMMYFUNCTION("""COMPUTED_VALUE"""),"One-Time")</f>
        <v>One-Time</v>
      </c>
      <c r="E130" s="9" t="str">
        <f ca="1">IFERROR(__xludf.DUMMYFUNCTION("""COMPUTED_VALUE"""),"Workplace Comms Quick Start Basic - Onboarding basics,onboarding coordinator for 2 months, Welcome session and documentation,configuration guide and review, Administrator and Content Publisher on-demand webinars.")</f>
        <v>Workplace Comms Quick Start Basic - Onboarding basics,onboarding coordinator for 2 months, Welcome session and documentation,configuration guide and review, Administrator and Content Publisher on-demand webinars.</v>
      </c>
      <c r="F130" s="8" t="str">
        <f ca="1">IFERROR(__xludf.DUMMYFUNCTION("""COMPUTED_VALUE"""),"USD")</f>
        <v>USD</v>
      </c>
      <c r="G130" s="8">
        <f ca="1">IFERROR(__xludf.DUMMYFUNCTION("""COMPUTED_VALUE"""),2500)</f>
        <v>2500</v>
      </c>
      <c r="H130" s="10">
        <f ca="1">IFERROR(__xludf.DUMMYFUNCTION("""COMPUTED_VALUE"""),2500)</f>
        <v>2500</v>
      </c>
    </row>
    <row r="131" spans="1:8">
      <c r="A131" s="8" t="str">
        <f ca="1">IFERROR(__xludf.DUMMYFUNCTION("""COMPUTED_VALUE"""),"AS-SVC-COM-QST-ELITE")</f>
        <v>AS-SVC-COM-QST-ELITE</v>
      </c>
      <c r="B131" s="8" t="str">
        <f ca="1">IFERROR(__xludf.DUMMYFUNCTION("""COMPUTED_VALUE"""),"AS-SVC-COM-QST-ELITE")</f>
        <v>AS-SVC-COM-QST-ELITE</v>
      </c>
      <c r="C131" s="9" t="str">
        <f ca="1">IFERROR(__xludf.DUMMYFUNCTION("""COMPUTED_VALUE"""),"Workplace Comms Quick Start Elite")</f>
        <v>Workplace Comms Quick Start Elite</v>
      </c>
      <c r="D131" s="8" t="str">
        <f ca="1">IFERROR(__xludf.DUMMYFUNCTION("""COMPUTED_VALUE"""),"One-Time")</f>
        <v>One-Time</v>
      </c>
      <c r="E131" s="9" t="str">
        <f ca="1">IFERROR(__xludf.DUMMYFUNCTION("""COMPUTED_VALUE"""),"Workplace Comms Quick Start Elite - Enterprise and and local Workplace Comms implementation. Strategy session, Global-to-Local Governance Plan Global-to-Local Employee App Configuration, Device App Configuration,16 branded card templates, Administrator an"&amp;"d Content Publisher training.")</f>
        <v>Workplace Comms Quick Start Elite - Enterprise and and local Workplace Comms implementation. Strategy session, Global-to-Local Governance Plan Global-to-Local Employee App Configuration, Device App Configuration,16 branded card templates, Administrator and Content Publisher training.</v>
      </c>
      <c r="F131" s="8" t="str">
        <f ca="1">IFERROR(__xludf.DUMMYFUNCTION("""COMPUTED_VALUE"""),"USD")</f>
        <v>USD</v>
      </c>
      <c r="G131" s="8">
        <f ca="1">IFERROR(__xludf.DUMMYFUNCTION("""COMPUTED_VALUE"""),30000)</f>
        <v>30000</v>
      </c>
      <c r="H131" s="10">
        <f ca="1">IFERROR(__xludf.DUMMYFUNCTION("""COMPUTED_VALUE"""),30000)</f>
        <v>30000</v>
      </c>
    </row>
    <row r="132" spans="1:8">
      <c r="A132" s="8" t="str">
        <f ca="1">IFERROR(__xludf.DUMMYFUNCTION("""COMPUTED_VALUE"""),"AS-SVC-COM-QST-PREMIUM")</f>
        <v>AS-SVC-COM-QST-PREMIUM</v>
      </c>
      <c r="B132" s="8" t="str">
        <f ca="1">IFERROR(__xludf.DUMMYFUNCTION("""COMPUTED_VALUE"""),"AS-SVC-COM-QST-PREMIUM")</f>
        <v>AS-SVC-COM-QST-PREMIUM</v>
      </c>
      <c r="C132" s="9" t="str">
        <f ca="1">IFERROR(__xludf.DUMMYFUNCTION("""COMPUTED_VALUE"""),"Workplace Comms Quick Start Premium")</f>
        <v>Workplace Comms Quick Start Premium</v>
      </c>
      <c r="D132" s="8" t="str">
        <f ca="1">IFERROR(__xludf.DUMMYFUNCTION("""COMPUTED_VALUE"""),"One-Time")</f>
        <v>One-Time</v>
      </c>
      <c r="E132" s="9" t="str">
        <f ca="1">IFERROR(__xludf.DUMMYFUNCTION("""COMPUTED_VALUE"""),"Workplace Comms Quick Start Premium - Enterprise-level Workplace Communications implementation. Strategy session, Employee App theming and configuration, platform configuration, 16 branded card templates, Administrator and Content Publisher training.")</f>
        <v>Workplace Comms Quick Start Premium - Enterprise-level Workplace Communications implementation. Strategy session, Employee App theming and configuration, platform configuration, 16 branded card templates, Administrator and Content Publisher training.</v>
      </c>
      <c r="F132" s="8" t="str">
        <f ca="1">IFERROR(__xludf.DUMMYFUNCTION("""COMPUTED_VALUE"""),"USD")</f>
        <v>USD</v>
      </c>
      <c r="G132" s="8">
        <f ca="1">IFERROR(__xludf.DUMMYFUNCTION("""COMPUTED_VALUE"""),15000)</f>
        <v>15000</v>
      </c>
      <c r="H132" s="10">
        <f ca="1">IFERROR(__xludf.DUMMYFUNCTION("""COMPUTED_VALUE"""),15000)</f>
        <v>15000</v>
      </c>
    </row>
    <row r="133" spans="1:8">
      <c r="A133" s="8" t="str">
        <f ca="1">IFERROR(__xludf.DUMMYFUNCTION("""COMPUTED_VALUE"""),"AS-SVC-COM-REFRESH")</f>
        <v>AS-SVC-COM-REFRESH</v>
      </c>
      <c r="B133" s="8" t="str">
        <f ca="1">IFERROR(__xludf.DUMMYFUNCTION("""COMPUTED_VALUE"""),"AS-SVC-COM-REFRESH")</f>
        <v>AS-SVC-COM-REFRESH</v>
      </c>
      <c r="C133" s="9" t="str">
        <f ca="1">IFERROR(__xludf.DUMMYFUNCTION("""COMPUTED_VALUE"""),"Workplace Comms Refresh")</f>
        <v>Workplace Comms Refresh</v>
      </c>
      <c r="D133" s="8" t="str">
        <f ca="1">IFERROR(__xludf.DUMMYFUNCTION("""COMPUTED_VALUE"""),"One-Time")</f>
        <v>One-Time</v>
      </c>
      <c r="E133" s="9" t="str">
        <f ca="1">IFERROR(__xludf.DUMMYFUNCTION("""COMPUTED_VALUE"""),"Workplace Comms Refresh -  Appspace Digital Signage and/or Employee App comms and analytics review; library, channels, groups cleanup; documented best practices, workflow review session.")</f>
        <v>Workplace Comms Refresh -  Appspace Digital Signage and/or Employee App comms and analytics review; library, channels, groups cleanup; documented best practices, workflow review session.</v>
      </c>
      <c r="F133" s="8" t="str">
        <f ca="1">IFERROR(__xludf.DUMMYFUNCTION("""COMPUTED_VALUE"""),"USD")</f>
        <v>USD</v>
      </c>
      <c r="G133" s="8">
        <f ca="1">IFERROR(__xludf.DUMMYFUNCTION("""COMPUTED_VALUE"""),15000)</f>
        <v>15000</v>
      </c>
      <c r="H133" s="10">
        <f ca="1">IFERROR(__xludf.DUMMYFUNCTION("""COMPUTED_VALUE"""),15000)</f>
        <v>15000</v>
      </c>
    </row>
    <row r="134" spans="1:8">
      <c r="A134" s="8" t="str">
        <f ca="1">IFERROR(__xludf.DUMMYFUNCTION("""COMPUTED_VALUE"""),"AS-SVC-COM-REVIEW")</f>
        <v>AS-SVC-COM-REVIEW</v>
      </c>
      <c r="B134" s="8" t="str">
        <f ca="1">IFERROR(__xludf.DUMMYFUNCTION("""COMPUTED_VALUE"""),"AS-SVC-COM-REVIEW")</f>
        <v>AS-SVC-COM-REVIEW</v>
      </c>
      <c r="C134" s="9" t="str">
        <f ca="1">IFERROR(__xludf.DUMMYFUNCTION("""COMPUTED_VALUE"""),"Workplace Comms Review")</f>
        <v>Workplace Comms Review</v>
      </c>
      <c r="D134" s="8" t="str">
        <f ca="1">IFERROR(__xludf.DUMMYFUNCTION("""COMPUTED_VALUE"""),"One-Time")</f>
        <v>One-Time</v>
      </c>
      <c r="E134" s="9" t="str">
        <f ca="1">IFERROR(__xludf.DUMMYFUNCTION("""COMPUTED_VALUE"""),"Workplace Comms Review - Appspace Digital Signage and/or Employee App communications and analytics review, documented findings and recommendations, collaborative findings review session.")</f>
        <v>Workplace Comms Review - Appspace Digital Signage and/or Employee App communications and analytics review, documented findings and recommendations, collaborative findings review session.</v>
      </c>
      <c r="F134" s="8" t="str">
        <f ca="1">IFERROR(__xludf.DUMMYFUNCTION("""COMPUTED_VALUE"""),"USD")</f>
        <v>USD</v>
      </c>
      <c r="G134" s="8">
        <f ca="1">IFERROR(__xludf.DUMMYFUNCTION("""COMPUTED_VALUE"""),7500)</f>
        <v>7500</v>
      </c>
      <c r="H134" s="10">
        <f ca="1">IFERROR(__xludf.DUMMYFUNCTION("""COMPUTED_VALUE"""),7500)</f>
        <v>7500</v>
      </c>
    </row>
    <row r="135" spans="1:8">
      <c r="A135" s="8" t="str">
        <f ca="1">IFERROR(__xludf.DUMMYFUNCTION("""COMPUTED_VALUE"""),"AS-SVC-COM-TEMPLATES")</f>
        <v>AS-SVC-COM-TEMPLATES</v>
      </c>
      <c r="B135" s="8" t="str">
        <f ca="1">IFERROR(__xludf.DUMMYFUNCTION("""COMPUTED_VALUE"""),"AS-SVC-COM-TEMPLATES")</f>
        <v>AS-SVC-COM-TEMPLATES</v>
      </c>
      <c r="C135" s="9" t="str">
        <f ca="1">IFERROR(__xludf.DUMMYFUNCTION("""COMPUTED_VALUE"""),"Workplace Comms Branded Templates")</f>
        <v>Workplace Comms Branded Templates</v>
      </c>
      <c r="D135" s="8" t="str">
        <f ca="1">IFERROR(__xludf.DUMMYFUNCTION("""COMPUTED_VALUE"""),"One-Time")</f>
        <v>One-Time</v>
      </c>
      <c r="E135" s="9" t="str">
        <f ca="1">IFERROR(__xludf.DUMMYFUNCTION("""COMPUTED_VALUE"""),"Workplace Comms Branded Templates - Sixteen communication templates for your most common use cases, branded with your logo, fonts, and colors.")</f>
        <v>Workplace Comms Branded Templates - Sixteen communication templates for your most common use cases, branded with your logo, fonts, and colors.</v>
      </c>
      <c r="F135" s="8" t="str">
        <f ca="1">IFERROR(__xludf.DUMMYFUNCTION("""COMPUTED_VALUE"""),"USD")</f>
        <v>USD</v>
      </c>
      <c r="G135" s="8">
        <f ca="1">IFERROR(__xludf.DUMMYFUNCTION("""COMPUTED_VALUE"""),8000)</f>
        <v>8000</v>
      </c>
      <c r="H135" s="10">
        <f ca="1">IFERROR(__xludf.DUMMYFUNCTION("""COMPUTED_VALUE"""),8000)</f>
        <v>8000</v>
      </c>
    </row>
    <row r="136" spans="1:8">
      <c r="A136" s="8" t="str">
        <f ca="1">IFERROR(__xludf.DUMMYFUNCTION("""COMPUTED_VALUE"""),"AS-SVC-CSM")</f>
        <v>AS-SVC-CSM</v>
      </c>
      <c r="B136" s="8" t="str">
        <f ca="1">IFERROR(__xludf.DUMMYFUNCTION("""COMPUTED_VALUE"""),"Annual Plan AS-SVC-CSM")</f>
        <v>Annual Plan AS-SVC-CSM</v>
      </c>
      <c r="C136" s="9" t="str">
        <f ca="1">IFERROR(__xludf.DUMMYFUNCTION("""COMPUTED_VALUE"""),"Customer Success Manager")</f>
        <v>Customer Success Manager</v>
      </c>
      <c r="D136" s="8" t="str">
        <f ca="1">IFERROR(__xludf.DUMMYFUNCTION("""COMPUTED_VALUE"""),"Recurring")</f>
        <v>Recurring</v>
      </c>
      <c r="E136" s="9" t="str">
        <f ca="1">IFERROR(__xludf.DUMMYFUNCTION("""COMPUTED_VALUE"""),"Appspace Customer Success Manager - An Appspace Customer Success Manager is assigned to your account to assist you with getting the most out of your Appspace subscription.")</f>
        <v>Appspace Customer Success Manager - An Appspace Customer Success Manager is assigned to your account to assist you with getting the most out of your Appspace subscription.</v>
      </c>
      <c r="F136" s="8" t="str">
        <f ca="1">IFERROR(__xludf.DUMMYFUNCTION("""COMPUTED_VALUE"""),"USD")</f>
        <v>USD</v>
      </c>
      <c r="G136" s="8">
        <f ca="1">IFERROR(__xludf.DUMMYFUNCTION("""COMPUTED_VALUE"""),1500)</f>
        <v>1500</v>
      </c>
      <c r="H136" s="10">
        <f ca="1">IFERROR(__xludf.DUMMYFUNCTION("""COMPUTED_VALUE"""),18000)</f>
        <v>18000</v>
      </c>
    </row>
    <row r="137" spans="1:8">
      <c r="A137" s="8" t="str">
        <f ca="1">IFERROR(__xludf.DUMMYFUNCTION("""COMPUTED_VALUE"""),"AS-SVC-INT-MS-BASIC")</f>
        <v>AS-SVC-INT-MS-BASIC</v>
      </c>
      <c r="B137" s="8" t="str">
        <f ca="1">IFERROR(__xludf.DUMMYFUNCTION("""COMPUTED_VALUE"""),"Annual Plan AS-SVC-INT-MS-BASIC")</f>
        <v>Annual Plan AS-SVC-INT-MS-BASIC</v>
      </c>
      <c r="C137" s="9" t="str">
        <f ca="1">IFERROR(__xludf.DUMMYFUNCTION("""COMPUTED_VALUE"""),"Managed Services Intranet - Basic")</f>
        <v>Managed Services Intranet - Basic</v>
      </c>
      <c r="D137" s="8" t="str">
        <f ca="1">IFERROR(__xludf.DUMMYFUNCTION("""COMPUTED_VALUE"""),"Recurring")</f>
        <v>Recurring</v>
      </c>
      <c r="E137" s="9" t="str">
        <f ca="1">IFERROR(__xludf.DUMMYFUNCTION("""COMPUTED_VALUE"""),"Intranet Platform Managed Services - Ongoing Intranet support including project management, analytics reporting and advisory, new user support. Up to 12 hours per month")</f>
        <v>Intranet Platform Managed Services - Ongoing Intranet support including project management, analytics reporting and advisory, new user support. Up to 12 hours per month</v>
      </c>
      <c r="F137" s="8" t="str">
        <f ca="1">IFERROR(__xludf.DUMMYFUNCTION("""COMPUTED_VALUE"""),"USD")</f>
        <v>USD</v>
      </c>
      <c r="G137" s="8">
        <f ca="1">IFERROR(__xludf.DUMMYFUNCTION("""COMPUTED_VALUE"""),3000)</f>
        <v>3000</v>
      </c>
      <c r="H137" s="10">
        <f ca="1">IFERROR(__xludf.DUMMYFUNCTION("""COMPUTED_VALUE"""),36000)</f>
        <v>36000</v>
      </c>
    </row>
    <row r="138" spans="1:8">
      <c r="A138" s="8" t="str">
        <f ca="1">IFERROR(__xludf.DUMMYFUNCTION("""COMPUTED_VALUE"""),"AS-SVC-INT-MS-BRANDING")</f>
        <v>AS-SVC-INT-MS-BRANDING</v>
      </c>
      <c r="B138" s="8" t="str">
        <f ca="1">IFERROR(__xludf.DUMMYFUNCTION("""COMPUTED_VALUE"""),"AS-SVC-INT-MS-BRANDING")</f>
        <v>AS-SVC-INT-MS-BRANDING</v>
      </c>
      <c r="C138" s="9" t="str">
        <f ca="1">IFERROR(__xludf.DUMMYFUNCTION("""COMPUTED_VALUE"""),"Intranet Branding Managed Services")</f>
        <v>Intranet Branding Managed Services</v>
      </c>
      <c r="D138" s="8" t="str">
        <f ca="1">IFERROR(__xludf.DUMMYFUNCTION("""COMPUTED_VALUE"""),"Recurring")</f>
        <v>Recurring</v>
      </c>
      <c r="E138" s="9" t="str">
        <f ca="1">IFERROR(__xludf.DUMMYFUNCTION("""COMPUTED_VALUE"""),"Intranet Branding Services - Custom branding of Intranet local and global entities, set up and maintenance of the customizations. Includes 4 updates of branding packages a year.")</f>
        <v>Intranet Branding Services - Custom branding of Intranet local and global entities, set up and maintenance of the customizations. Includes 4 updates of branding packages a year.</v>
      </c>
      <c r="F138" s="8" t="str">
        <f ca="1">IFERROR(__xludf.DUMMYFUNCTION("""COMPUTED_VALUE"""),"USD")</f>
        <v>USD</v>
      </c>
      <c r="G138" s="8">
        <f ca="1">IFERROR(__xludf.DUMMYFUNCTION("""COMPUTED_VALUE"""),1100)</f>
        <v>1100</v>
      </c>
      <c r="H138" s="10">
        <f ca="1">IFERROR(__xludf.DUMMYFUNCTION("""COMPUTED_VALUE"""),13200)</f>
        <v>13200</v>
      </c>
    </row>
    <row r="139" spans="1:8">
      <c r="A139" s="8" t="str">
        <f ca="1">IFERROR(__xludf.DUMMYFUNCTION("""COMPUTED_VALUE"""),"AS-SVC-INT-MS-ELITE")</f>
        <v>AS-SVC-INT-MS-ELITE</v>
      </c>
      <c r="B139" s="8" t="str">
        <f ca="1">IFERROR(__xludf.DUMMYFUNCTION("""COMPUTED_VALUE"""),"Annual Plan AS-SVC-INT-MS-ELITE")</f>
        <v>Annual Plan AS-SVC-INT-MS-ELITE</v>
      </c>
      <c r="C139" s="9" t="str">
        <f ca="1">IFERROR(__xludf.DUMMYFUNCTION("""COMPUTED_VALUE"""),"Managed Services Intranet - Elite")</f>
        <v>Managed Services Intranet - Elite</v>
      </c>
      <c r="D139" s="8" t="str">
        <f ca="1">IFERROR(__xludf.DUMMYFUNCTION("""COMPUTED_VALUE"""),"Recurring")</f>
        <v>Recurring</v>
      </c>
      <c r="E139" s="9" t="str">
        <f ca="1">IFERROR(__xludf.DUMMYFUNCTION("""COMPUTED_VALUE"""),"Intranet Platform Managed Services - Ongoing Intranet support including project management, analytics reporting and advisory, new user support. 32+hours per month. Additional scoping may be required.")</f>
        <v>Intranet Platform Managed Services - Ongoing Intranet support including project management, analytics reporting and advisory, new user support. 32+hours per month. Additional scoping may be required.</v>
      </c>
      <c r="F139" s="8" t="str">
        <f ca="1">IFERROR(__xludf.DUMMYFUNCTION("""COMPUTED_VALUE"""),"USD")</f>
        <v>USD</v>
      </c>
      <c r="G139" s="8">
        <f ca="1">IFERROR(__xludf.DUMMYFUNCTION("""COMPUTED_VALUE"""),7500)</f>
        <v>7500</v>
      </c>
      <c r="H139" s="10">
        <f ca="1">IFERROR(__xludf.DUMMYFUNCTION("""COMPUTED_VALUE"""),90000)</f>
        <v>90000</v>
      </c>
    </row>
    <row r="140" spans="1:8">
      <c r="A140" s="8" t="str">
        <f ca="1">IFERROR(__xludf.DUMMYFUNCTION("""COMPUTED_VALUE"""),"AS-SVC-INT-MS-PREMIUM")</f>
        <v>AS-SVC-INT-MS-PREMIUM</v>
      </c>
      <c r="B140" s="8" t="str">
        <f ca="1">IFERROR(__xludf.DUMMYFUNCTION("""COMPUTED_VALUE"""),"Annual Plan AS-SVC-INT-MS-PREMIUM")</f>
        <v>Annual Plan AS-SVC-INT-MS-PREMIUM</v>
      </c>
      <c r="C140" s="9" t="str">
        <f ca="1">IFERROR(__xludf.DUMMYFUNCTION("""COMPUTED_VALUE"""),"Managed Services Intranet - Premium")</f>
        <v>Managed Services Intranet - Premium</v>
      </c>
      <c r="D140" s="8" t="str">
        <f ca="1">IFERROR(__xludf.DUMMYFUNCTION("""COMPUTED_VALUE"""),"Recurring")</f>
        <v>Recurring</v>
      </c>
      <c r="E140" s="9" t="str">
        <f ca="1">IFERROR(__xludf.DUMMYFUNCTION("""COMPUTED_VALUE"""),"Intranet Platform Managed Services - Ongoing Intranet support including project management, analytics reporting and advisory, new user support. Up to 24 hours per month")</f>
        <v>Intranet Platform Managed Services - Ongoing Intranet support including project management, analytics reporting and advisory, new user support. Up to 24 hours per month</v>
      </c>
      <c r="F140" s="8" t="str">
        <f ca="1">IFERROR(__xludf.DUMMYFUNCTION("""COMPUTED_VALUE"""),"USD")</f>
        <v>USD</v>
      </c>
      <c r="G140" s="8">
        <f ca="1">IFERROR(__xludf.DUMMYFUNCTION("""COMPUTED_VALUE"""),6000)</f>
        <v>6000</v>
      </c>
      <c r="H140" s="10">
        <f ca="1">IFERROR(__xludf.DUMMYFUNCTION("""COMPUTED_VALUE"""),72000)</f>
        <v>72000</v>
      </c>
    </row>
    <row r="141" spans="1:8">
      <c r="A141" s="8" t="str">
        <f ca="1">IFERROR(__xludf.DUMMYFUNCTION("""COMPUTED_VALUE"""),"AS-SVC-MAPS-FLU")</f>
        <v>AS-SVC-MAPS-FLU</v>
      </c>
      <c r="B141" s="8" t="str">
        <f ca="1">IFERROR(__xludf.DUMMYFUNCTION("""COMPUTED_VALUE"""),"AS-SVC-MAPS-FLU")</f>
        <v>AS-SVC-MAPS-FLU</v>
      </c>
      <c r="C141" s="9" t="str">
        <f ca="1">IFERROR(__xludf.DUMMYFUNCTION("""COMPUTED_VALUE"""),"Space Reservation Floor Update")</f>
        <v>Space Reservation Floor Update</v>
      </c>
      <c r="D141" s="8" t="str">
        <f ca="1">IFERROR(__xludf.DUMMYFUNCTION("""COMPUTED_VALUE"""),"One-Time")</f>
        <v>One-Time</v>
      </c>
      <c r="E141" s="9" t="str">
        <f ca="1">IFERROR(__xludf.DUMMYFUNCTION("""COMPUTED_VALUE"""),"Appspace Space Reservation Floor Update - Update of Appspace-created 2D mapped floor plan.")</f>
        <v>Appspace Space Reservation Floor Update - Update of Appspace-created 2D mapped floor plan.</v>
      </c>
      <c r="F141" s="8" t="str">
        <f ca="1">IFERROR(__xludf.DUMMYFUNCTION("""COMPUTED_VALUE"""),"USD")</f>
        <v>USD</v>
      </c>
      <c r="G141" s="8">
        <f ca="1">IFERROR(__xludf.DUMMYFUNCTION("""COMPUTED_VALUE"""),250)</f>
        <v>250</v>
      </c>
      <c r="H141" s="10">
        <f ca="1">IFERROR(__xludf.DUMMYFUNCTION("""COMPUTED_VALUE"""),250)</f>
        <v>250</v>
      </c>
    </row>
    <row r="142" spans="1:8">
      <c r="A142" s="8" t="str">
        <f ca="1">IFERROR(__xludf.DUMMYFUNCTION("""COMPUTED_VALUE"""),"AS-SVC-MS-ADVANCED")</f>
        <v>AS-SVC-MS-ADVANCED</v>
      </c>
      <c r="B142" s="8" t="str">
        <f ca="1">IFERROR(__xludf.DUMMYFUNCTION("""COMPUTED_VALUE"""),"Annual Plan AS-SVC-MS-ADVANCED")</f>
        <v>Annual Plan AS-SVC-MS-ADVANCED</v>
      </c>
      <c r="C142" s="9" t="str">
        <f ca="1">IFERROR(__xludf.DUMMYFUNCTION("""COMPUTED_VALUE"""),"Managed Services - Advanced")</f>
        <v>Managed Services - Advanced</v>
      </c>
      <c r="D142" s="8" t="str">
        <f ca="1">IFERROR(__xludf.DUMMYFUNCTION("""COMPUTED_VALUE"""),"Recurring")</f>
        <v>Recurring</v>
      </c>
      <c r="E142" s="9" t="str">
        <f ca="1">IFERROR(__xludf.DUMMYFUNCTION("""COMPUTED_VALUE"""),"Managed Services Advanced - Ongoing platform assistance, up to 12 hours per month")</f>
        <v>Managed Services Advanced - Ongoing platform assistance, up to 12 hours per month</v>
      </c>
      <c r="F142" s="8" t="str">
        <f ca="1">IFERROR(__xludf.DUMMYFUNCTION("""COMPUTED_VALUE"""),"USD")</f>
        <v>USD</v>
      </c>
      <c r="G142" s="8">
        <f ca="1">IFERROR(__xludf.DUMMYFUNCTION("""COMPUTED_VALUE"""),3000)</f>
        <v>3000</v>
      </c>
      <c r="H142" s="10">
        <f ca="1">IFERROR(__xludf.DUMMYFUNCTION("""COMPUTED_VALUE"""),36000)</f>
        <v>36000</v>
      </c>
    </row>
    <row r="143" spans="1:8">
      <c r="A143" s="8" t="str">
        <f ca="1">IFERROR(__xludf.DUMMYFUNCTION("""COMPUTED_VALUE"""),"AS-SVC-MS-BASIC")</f>
        <v>AS-SVC-MS-BASIC</v>
      </c>
      <c r="B143" s="8" t="str">
        <f ca="1">IFERROR(__xludf.DUMMYFUNCTION("""COMPUTED_VALUE"""),"Annual Plan AS-SVC-MS-BASIC")</f>
        <v>Annual Plan AS-SVC-MS-BASIC</v>
      </c>
      <c r="C143" s="9" t="str">
        <f ca="1">IFERROR(__xludf.DUMMYFUNCTION("""COMPUTED_VALUE"""),"Managed Services - Basic")</f>
        <v>Managed Services - Basic</v>
      </c>
      <c r="D143" s="8" t="str">
        <f ca="1">IFERROR(__xludf.DUMMYFUNCTION("""COMPUTED_VALUE"""),"Recurring")</f>
        <v>Recurring</v>
      </c>
      <c r="E143" s="9" t="str">
        <f ca="1">IFERROR(__xludf.DUMMYFUNCTION("""COMPUTED_VALUE"""),"Managed Services Basic - Ongoing platform assistance, up to 6 hours per month")</f>
        <v>Managed Services Basic - Ongoing platform assistance, up to 6 hours per month</v>
      </c>
      <c r="F143" s="8" t="str">
        <f ca="1">IFERROR(__xludf.DUMMYFUNCTION("""COMPUTED_VALUE"""),"USD")</f>
        <v>USD</v>
      </c>
      <c r="G143" s="8">
        <f ca="1">IFERROR(__xludf.DUMMYFUNCTION("""COMPUTED_VALUE"""),1500)</f>
        <v>1500</v>
      </c>
      <c r="H143" s="10">
        <f ca="1">IFERROR(__xludf.DUMMYFUNCTION("""COMPUTED_VALUE"""),18000)</f>
        <v>18000</v>
      </c>
    </row>
    <row r="144" spans="1:8">
      <c r="A144" s="8" t="str">
        <f ca="1">IFERROR(__xludf.DUMMYFUNCTION("""COMPUTED_VALUE"""),"AS-SVC-MS-PREMIUM")</f>
        <v>AS-SVC-MS-PREMIUM</v>
      </c>
      <c r="B144" s="8" t="str">
        <f ca="1">IFERROR(__xludf.DUMMYFUNCTION("""COMPUTED_VALUE"""),"Annual Plan AS-SVC-MS-PREMIUM")</f>
        <v>Annual Plan AS-SVC-MS-PREMIUM</v>
      </c>
      <c r="C144" s="9" t="str">
        <f ca="1">IFERROR(__xludf.DUMMYFUNCTION("""COMPUTED_VALUE"""),"Managed Services - Premium")</f>
        <v>Managed Services - Premium</v>
      </c>
      <c r="D144" s="8" t="str">
        <f ca="1">IFERROR(__xludf.DUMMYFUNCTION("""COMPUTED_VALUE"""),"Recurring")</f>
        <v>Recurring</v>
      </c>
      <c r="E144" s="9" t="str">
        <f ca="1">IFERROR(__xludf.DUMMYFUNCTION("""COMPUTED_VALUE"""),"Managed Services Premium - Ongoing platform assistance, up to 24 hours per month")</f>
        <v>Managed Services Premium - Ongoing platform assistance, up to 24 hours per month</v>
      </c>
      <c r="F144" s="8" t="str">
        <f ca="1">IFERROR(__xludf.DUMMYFUNCTION("""COMPUTED_VALUE"""),"USD")</f>
        <v>USD</v>
      </c>
      <c r="G144" s="8">
        <f ca="1">IFERROR(__xludf.DUMMYFUNCTION("""COMPUTED_VALUE"""),6000)</f>
        <v>6000</v>
      </c>
      <c r="H144" s="10">
        <f ca="1">IFERROR(__xludf.DUMMYFUNCTION("""COMPUTED_VALUE"""),72000)</f>
        <v>72000</v>
      </c>
    </row>
    <row r="145" spans="1:8">
      <c r="A145" s="8" t="str">
        <f ca="1">IFERROR(__xludf.DUMMYFUNCTION("""COMPUTED_VALUE"""),"AS-SVC-OP-CM")</f>
        <v>AS-SVC-OP-CM</v>
      </c>
      <c r="B145" s="8" t="str">
        <f ca="1">IFERROR(__xludf.DUMMYFUNCTION("""COMPUTED_VALUE"""),"AS-SVC-OP-CM - Large")</f>
        <v>AS-SVC-OP-CM - Large</v>
      </c>
      <c r="C145" s="9" t="str">
        <f ca="1">IFERROR(__xludf.DUMMYFUNCTION("""COMPUTED_VALUE"""),"On-Prem to Cloud Migration - Large")</f>
        <v>On-Prem to Cloud Migration - Large</v>
      </c>
      <c r="D145" s="8" t="str">
        <f ca="1">IFERROR(__xludf.DUMMYFUNCTION("""COMPUTED_VALUE"""),"One-Time")</f>
        <v>One-Time</v>
      </c>
      <c r="E145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5" s="8" t="str">
        <f ca="1">IFERROR(__xludf.DUMMYFUNCTION("""COMPUTED_VALUE"""),"USD")</f>
        <v>USD</v>
      </c>
      <c r="G145" s="8">
        <f ca="1">IFERROR(__xludf.DUMMYFUNCTION("""COMPUTED_VALUE"""),20000)</f>
        <v>20000</v>
      </c>
      <c r="H145" s="10">
        <f ca="1">IFERROR(__xludf.DUMMYFUNCTION("""COMPUTED_VALUE"""),20000)</f>
        <v>20000</v>
      </c>
    </row>
    <row r="146" spans="1:8">
      <c r="A146" s="8" t="str">
        <f ca="1">IFERROR(__xludf.DUMMYFUNCTION("""COMPUTED_VALUE"""),"AS-SVC-OP-CM")</f>
        <v>AS-SVC-OP-CM</v>
      </c>
      <c r="B146" s="8" t="str">
        <f ca="1">IFERROR(__xludf.DUMMYFUNCTION("""COMPUTED_VALUE"""),"AS-SVC-OP-CM - Medium")</f>
        <v>AS-SVC-OP-CM - Medium</v>
      </c>
      <c r="C146" s="9" t="str">
        <f ca="1">IFERROR(__xludf.DUMMYFUNCTION("""COMPUTED_VALUE"""),"On-Prem to Cloud Migration - Medium")</f>
        <v>On-Prem to Cloud Migration - Medium</v>
      </c>
      <c r="D146" s="8" t="str">
        <f ca="1">IFERROR(__xludf.DUMMYFUNCTION("""COMPUTED_VALUE"""),"One-Time")</f>
        <v>One-Time</v>
      </c>
      <c r="E146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6" s="8" t="str">
        <f ca="1">IFERROR(__xludf.DUMMYFUNCTION("""COMPUTED_VALUE"""),"USD")</f>
        <v>USD</v>
      </c>
      <c r="G146" s="8">
        <f ca="1">IFERROR(__xludf.DUMMYFUNCTION("""COMPUTED_VALUE"""),10000)</f>
        <v>10000</v>
      </c>
      <c r="H146" s="10">
        <f ca="1">IFERROR(__xludf.DUMMYFUNCTION("""COMPUTED_VALUE"""),10000)</f>
        <v>10000</v>
      </c>
    </row>
    <row r="147" spans="1:8">
      <c r="A147" s="8" t="str">
        <f ca="1">IFERROR(__xludf.DUMMYFUNCTION("""COMPUTED_VALUE"""),"AS-SVC-OP-CM")</f>
        <v>AS-SVC-OP-CM</v>
      </c>
      <c r="B147" s="8" t="str">
        <f ca="1">IFERROR(__xludf.DUMMYFUNCTION("""COMPUTED_VALUE"""),"AS-SVC-OP-CM - Small")</f>
        <v>AS-SVC-OP-CM - Small</v>
      </c>
      <c r="C147" s="9" t="str">
        <f ca="1">IFERROR(__xludf.DUMMYFUNCTION("""COMPUTED_VALUE"""),"On-Prem to Cloud Migration - Small")</f>
        <v>On-Prem to Cloud Migration - Small</v>
      </c>
      <c r="D147" s="8" t="str">
        <f ca="1">IFERROR(__xludf.DUMMYFUNCTION("""COMPUTED_VALUE"""),"One-Time")</f>
        <v>One-Time</v>
      </c>
      <c r="E147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7" s="8" t="str">
        <f ca="1">IFERROR(__xludf.DUMMYFUNCTION("""COMPUTED_VALUE"""),"USD")</f>
        <v>USD</v>
      </c>
      <c r="G147" s="8">
        <f ca="1">IFERROR(__xludf.DUMMYFUNCTION("""COMPUTED_VALUE"""),5000)</f>
        <v>5000</v>
      </c>
      <c r="H147" s="10">
        <f ca="1">IFERROR(__xludf.DUMMYFUNCTION("""COMPUTED_VALUE"""),5000)</f>
        <v>5000</v>
      </c>
    </row>
    <row r="148" spans="1:8">
      <c r="A148" s="8" t="str">
        <f ca="1">IFERROR(__xludf.DUMMYFUNCTION("""COMPUTED_VALUE"""),"AS-SVC-OP-UPG")</f>
        <v>AS-SVC-OP-UPG</v>
      </c>
      <c r="B148" s="8" t="str">
        <f ca="1">IFERROR(__xludf.DUMMYFUNCTION("""COMPUTED_VALUE"""),"AS-SVC-OP-UPG - Small")</f>
        <v>AS-SVC-OP-UPG - Small</v>
      </c>
      <c r="C148" s="9" t="str">
        <f ca="1">IFERROR(__xludf.DUMMYFUNCTION("""COMPUTED_VALUE"""),"On-Prem Upgrade Services - Small")</f>
        <v>On-Prem Upgrade Services - Small</v>
      </c>
      <c r="D148" s="8" t="str">
        <f ca="1">IFERROR(__xludf.DUMMYFUNCTION("""COMPUTED_VALUE"""),"One-Time")</f>
        <v>One-Time</v>
      </c>
      <c r="E148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8" s="8" t="str">
        <f ca="1">IFERROR(__xludf.DUMMYFUNCTION("""COMPUTED_VALUE"""),"USD")</f>
        <v>USD</v>
      </c>
      <c r="G148" s="8">
        <f ca="1">IFERROR(__xludf.DUMMYFUNCTION("""COMPUTED_VALUE"""),5000)</f>
        <v>5000</v>
      </c>
      <c r="H148" s="10">
        <f ca="1">IFERROR(__xludf.DUMMYFUNCTION("""COMPUTED_VALUE"""),5000)</f>
        <v>5000</v>
      </c>
    </row>
    <row r="149" spans="1:8">
      <c r="A149" s="8" t="str">
        <f ca="1">IFERROR(__xludf.DUMMYFUNCTION("""COMPUTED_VALUE"""),"AS-SVC-OP-UPG")</f>
        <v>AS-SVC-OP-UPG</v>
      </c>
      <c r="B149" s="8" t="str">
        <f ca="1">IFERROR(__xludf.DUMMYFUNCTION("""COMPUTED_VALUE"""),"AS-SVC-OP-UPG - Large")</f>
        <v>AS-SVC-OP-UPG - Large</v>
      </c>
      <c r="C149" s="9" t="str">
        <f ca="1">IFERROR(__xludf.DUMMYFUNCTION("""COMPUTED_VALUE"""),"On-Prem Upgrade Services - Large")</f>
        <v>On-Prem Upgrade Services - Large</v>
      </c>
      <c r="D149" s="8" t="str">
        <f ca="1">IFERROR(__xludf.DUMMYFUNCTION("""COMPUTED_VALUE"""),"One-Time")</f>
        <v>One-Time</v>
      </c>
      <c r="E149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9" s="8" t="str">
        <f ca="1">IFERROR(__xludf.DUMMYFUNCTION("""COMPUTED_VALUE"""),"USD")</f>
        <v>USD</v>
      </c>
      <c r="G149" s="8">
        <f ca="1">IFERROR(__xludf.DUMMYFUNCTION("""COMPUTED_VALUE"""),20000)</f>
        <v>20000</v>
      </c>
      <c r="H149" s="10">
        <f ca="1">IFERROR(__xludf.DUMMYFUNCTION("""COMPUTED_VALUE"""),20000)</f>
        <v>20000</v>
      </c>
    </row>
    <row r="150" spans="1:8">
      <c r="A150" s="8" t="str">
        <f ca="1">IFERROR(__xludf.DUMMYFUNCTION("""COMPUTED_VALUE"""),"AS-SVC-OP-UPG")</f>
        <v>AS-SVC-OP-UPG</v>
      </c>
      <c r="B150" s="8" t="str">
        <f ca="1">IFERROR(__xludf.DUMMYFUNCTION("""COMPUTED_VALUE"""),"AS-SVC-OP-UPG - Medium")</f>
        <v>AS-SVC-OP-UPG - Medium</v>
      </c>
      <c r="C150" s="9" t="str">
        <f ca="1">IFERROR(__xludf.DUMMYFUNCTION("""COMPUTED_VALUE"""),"On-Prem Upgrade Services - Medium")</f>
        <v>On-Prem Upgrade Services - Medium</v>
      </c>
      <c r="D150" s="8" t="str">
        <f ca="1">IFERROR(__xludf.DUMMYFUNCTION("""COMPUTED_VALUE"""),"One-Time")</f>
        <v>One-Time</v>
      </c>
      <c r="E150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50" s="8" t="str">
        <f ca="1">IFERROR(__xludf.DUMMYFUNCTION("""COMPUTED_VALUE"""),"USD")</f>
        <v>USD</v>
      </c>
      <c r="G150" s="8">
        <f ca="1">IFERROR(__xludf.DUMMYFUNCTION("""COMPUTED_VALUE"""),10000)</f>
        <v>10000</v>
      </c>
      <c r="H150" s="10">
        <f ca="1">IFERROR(__xludf.DUMMYFUNCTION("""COMPUTED_VALUE"""),10000)</f>
        <v>10000</v>
      </c>
    </row>
    <row r="151" spans="1:8">
      <c r="A151" s="8" t="str">
        <f ca="1">IFERROR(__xludf.DUMMYFUNCTION("""COMPUTED_VALUE"""),"AS-SVC-POC")</f>
        <v>AS-SVC-POC</v>
      </c>
      <c r="B151" s="8" t="str">
        <f ca="1">IFERROR(__xludf.DUMMYFUNCTION("""COMPUTED_VALUE"""),"AS-SVC-POC Workplace Comms")</f>
        <v>AS-SVC-POC Workplace Comms</v>
      </c>
      <c r="C151" s="9" t="str">
        <f ca="1">IFERROR(__xludf.DUMMYFUNCTION("""COMPUTED_VALUE"""),"Proof of Concept Workplace Comms")</f>
        <v>Proof of Concept Workplace Comms</v>
      </c>
      <c r="D151" s="8" t="str">
        <f ca="1">IFERROR(__xludf.DUMMYFUNCTION("""COMPUTED_VALUE"""),"One-Time")</f>
        <v>One-Time</v>
      </c>
      <c r="E151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1" s="8" t="str">
        <f ca="1">IFERROR(__xludf.DUMMYFUNCTION("""COMPUTED_VALUE"""),"USD")</f>
        <v>USD</v>
      </c>
      <c r="G151" s="8">
        <f ca="1">IFERROR(__xludf.DUMMYFUNCTION("""COMPUTED_VALUE"""),2500)</f>
        <v>2500</v>
      </c>
      <c r="H151" s="10">
        <f ca="1">IFERROR(__xludf.DUMMYFUNCTION("""COMPUTED_VALUE"""),2500)</f>
        <v>2500</v>
      </c>
    </row>
    <row r="152" spans="1:8">
      <c r="A152" s="8" t="str">
        <f ca="1">IFERROR(__xludf.DUMMYFUNCTION("""COMPUTED_VALUE"""),"AS-SVC-POC")</f>
        <v>AS-SVC-POC</v>
      </c>
      <c r="B152" s="8" t="str">
        <f ca="1">IFERROR(__xludf.DUMMYFUNCTION("""COMPUTED_VALUE"""),"AS-SVC-POC Space Management")</f>
        <v>AS-SVC-POC Space Management</v>
      </c>
      <c r="C152" s="9" t="str">
        <f ca="1">IFERROR(__xludf.DUMMYFUNCTION("""COMPUTED_VALUE"""),"Proof of Concept Space Management")</f>
        <v>Proof of Concept Space Management</v>
      </c>
      <c r="D152" s="8" t="str">
        <f ca="1">IFERROR(__xludf.DUMMYFUNCTION("""COMPUTED_VALUE"""),"One-Time")</f>
        <v>One-Time</v>
      </c>
      <c r="E152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2" s="8" t="str">
        <f ca="1">IFERROR(__xludf.DUMMYFUNCTION("""COMPUTED_VALUE"""),"USD")</f>
        <v>USD</v>
      </c>
      <c r="G152" s="8">
        <f ca="1">IFERROR(__xludf.DUMMYFUNCTION("""COMPUTED_VALUE"""),2500)</f>
        <v>2500</v>
      </c>
      <c r="H152" s="10">
        <f ca="1">IFERROR(__xludf.DUMMYFUNCTION("""COMPUTED_VALUE"""),2500)</f>
        <v>2500</v>
      </c>
    </row>
    <row r="153" spans="1:8">
      <c r="A153" s="8" t="str">
        <f ca="1">IFERROR(__xludf.DUMMYFUNCTION("""COMPUTED_VALUE"""),"AS-SVC-POC")</f>
        <v>AS-SVC-POC</v>
      </c>
      <c r="B153" s="8" t="str">
        <f ca="1">IFERROR(__xludf.DUMMYFUNCTION("""COMPUTED_VALUE"""),"AS-SVC-POC Employee App")</f>
        <v>AS-SVC-POC Employee App</v>
      </c>
      <c r="C153" s="9" t="str">
        <f ca="1">IFERROR(__xludf.DUMMYFUNCTION("""COMPUTED_VALUE"""),"Proof of Concept Employee App")</f>
        <v>Proof of Concept Employee App</v>
      </c>
      <c r="D153" s="8" t="str">
        <f ca="1">IFERROR(__xludf.DUMMYFUNCTION("""COMPUTED_VALUE"""),"One-Time")</f>
        <v>One-Time</v>
      </c>
      <c r="E153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3" s="8" t="str">
        <f ca="1">IFERROR(__xludf.DUMMYFUNCTION("""COMPUTED_VALUE"""),"USD")</f>
        <v>USD</v>
      </c>
      <c r="G153" s="8">
        <f ca="1">IFERROR(__xludf.DUMMYFUNCTION("""COMPUTED_VALUE"""),2500)</f>
        <v>2500</v>
      </c>
      <c r="H153" s="10">
        <f ca="1">IFERROR(__xludf.DUMMYFUNCTION("""COMPUTED_VALUE"""),2500)</f>
        <v>2500</v>
      </c>
    </row>
    <row r="154" spans="1:8">
      <c r="A154" s="8" t="str">
        <f ca="1">IFERROR(__xludf.DUMMYFUNCTION("""COMPUTED_VALUE"""),"AS-SVC-RBC-QST")</f>
        <v>AS-SVC-RBC-QST</v>
      </c>
      <c r="B154" s="8" t="str">
        <f ca="1">IFERROR(__xludf.DUMMYFUNCTION("""COMPUTED_VALUE"""),"AS-SVC-RBC-QST")</f>
        <v>AS-SVC-RBC-QST</v>
      </c>
      <c r="C154" s="9" t="str">
        <f ca="1">IFERROR(__xludf.DUMMYFUNCTION("""COMPUTED_VALUE"""),"Room Booking Card Quick Start")</f>
        <v>Room Booking Card Quick Start</v>
      </c>
      <c r="D154" s="8" t="str">
        <f ca="1">IFERROR(__xludf.DUMMYFUNCTION("""COMPUTED_VALUE"""),"One-Time")</f>
        <v>One-Time</v>
      </c>
      <c r="E154" s="9" t="str">
        <f ca="1">IFERROR(__xludf.DUMMYFUNCTION("""COMPUTED_VALUE"""),"Room Booking Card Quick Start - Room Booking Card Setup. Workshop, configuration for up to 20 rooms, customized instruction and documentation, post-setup review and consultation")</f>
        <v>Room Booking Card Quick Start - Room Booking Card Setup. Workshop, configuration for up to 20 rooms, customized instruction and documentation, post-setup review and consultation</v>
      </c>
      <c r="F154" s="8" t="str">
        <f ca="1">IFERROR(__xludf.DUMMYFUNCTION("""COMPUTED_VALUE"""),"USD")</f>
        <v>USD</v>
      </c>
      <c r="G154" s="8">
        <f ca="1">IFERROR(__xludf.DUMMYFUNCTION("""COMPUTED_VALUE"""),5000)</f>
        <v>5000</v>
      </c>
      <c r="H154" s="10">
        <f ca="1">IFERROR(__xludf.DUMMYFUNCTION("""COMPUTED_VALUE"""),5000)</f>
        <v>5000</v>
      </c>
    </row>
    <row r="155" spans="1:8">
      <c r="A155" s="8" t="str">
        <f ca="1">IFERROR(__xludf.DUMMYFUNCTION("""COMPUTED_VALUE"""),"AS-SVC-SUPPORT-24-7")</f>
        <v>AS-SVC-SUPPORT-24-7</v>
      </c>
      <c r="B155" s="8" t="str">
        <f ca="1">IFERROR(__xludf.DUMMYFUNCTION("""COMPUTED_VALUE"""),"Annual Plan AS-SVC-SUPPORT-24-7")</f>
        <v>Annual Plan AS-SVC-SUPPORT-24-7</v>
      </c>
      <c r="C155" s="9" t="str">
        <f ca="1">IFERROR(__xludf.DUMMYFUNCTION("""COMPUTED_VALUE"""),"Support Add-on - 24-7")</f>
        <v>Support Add-on - 24-7</v>
      </c>
      <c r="D155" s="8" t="str">
        <f ca="1">IFERROR(__xludf.DUMMYFUNCTION("""COMPUTED_VALUE"""),"Recurring")</f>
        <v>Recurring</v>
      </c>
      <c r="E155" s="9" t="str">
        <f ca="1">IFERROR(__xludf.DUMMYFUNCTION("""COMPUTED_VALUE"""),"Appspace Support Add-on - 24-7. Provides round-the-clock Appspace Customer Care support: 1-hour SLA, 7 days a week, 24 hours per day, unlimited tickets per month, and 20 ticket administrators.")</f>
        <v>Appspace Support Add-on - 24-7. Provides round-the-clock Appspace Customer Care support: 1-hour SLA, 7 days a week, 24 hours per day, unlimited tickets per month, and 20 ticket administrators.</v>
      </c>
      <c r="F155" s="8" t="str">
        <f ca="1">IFERROR(__xludf.DUMMYFUNCTION("""COMPUTED_VALUE"""),"USD")</f>
        <v>USD</v>
      </c>
      <c r="G155" s="8">
        <f ca="1">IFERROR(__xludf.DUMMYFUNCTION("""COMPUTED_VALUE"""),3000)</f>
        <v>3000</v>
      </c>
      <c r="H155" s="10">
        <f ca="1">IFERROR(__xludf.DUMMYFUNCTION("""COMPUTED_VALUE"""),36000)</f>
        <v>36000</v>
      </c>
    </row>
    <row r="156" spans="1:8">
      <c r="A156" s="8" t="str">
        <f ca="1">IFERROR(__xludf.DUMMYFUNCTION("""COMPUTED_VALUE"""),"AS-SVC-SUPPORT-ELITE")</f>
        <v>AS-SVC-SUPPORT-ELITE</v>
      </c>
      <c r="B156" s="8" t="str">
        <f ca="1">IFERROR(__xludf.DUMMYFUNCTION("""COMPUTED_VALUE"""),"Annual Plan AS-SVC-SUPPORT-ELITE")</f>
        <v>Annual Plan AS-SVC-SUPPORT-ELITE</v>
      </c>
      <c r="C156" s="9" t="str">
        <f ca="1">IFERROR(__xludf.DUMMYFUNCTION("""COMPUTED_VALUE"""),"Support Add-on - Elite")</f>
        <v>Support Add-on - Elite</v>
      </c>
      <c r="D156" s="8" t="str">
        <f ca="1">IFERROR(__xludf.DUMMYFUNCTION("""COMPUTED_VALUE"""),"Recurring")</f>
        <v>Recurring</v>
      </c>
      <c r="E156" s="9" t="str">
        <f ca="1">IFERROR(__xludf.DUMMYFUNCTION("""COMPUTED_VALUE"""),"Appspace Support Add-on - Elite. Provides access to Elite-level Appspace Customer Care support.")</f>
        <v>Appspace Support Add-on - Elite. Provides access to Elite-level Appspace Customer Care support.</v>
      </c>
      <c r="F156" s="8" t="str">
        <f ca="1">IFERROR(__xludf.DUMMYFUNCTION("""COMPUTED_VALUE"""),"USD")</f>
        <v>USD</v>
      </c>
      <c r="G156" s="8">
        <f ca="1">IFERROR(__xludf.DUMMYFUNCTION("""COMPUTED_VALUE"""),1000)</f>
        <v>1000</v>
      </c>
      <c r="H156" s="10">
        <f ca="1">IFERROR(__xludf.DUMMYFUNCTION("""COMPUTED_VALUE"""),12000)</f>
        <v>12000</v>
      </c>
    </row>
    <row r="157" spans="1:8">
      <c r="A157" s="8" t="str">
        <f ca="1">IFERROR(__xludf.DUMMYFUNCTION("""COMPUTED_VALUE"""),"AS-SVC-SUPPORT-SAM")</f>
        <v>AS-SVC-SUPPORT-SAM</v>
      </c>
      <c r="B157" s="8" t="str">
        <f ca="1">IFERROR(__xludf.DUMMYFUNCTION("""COMPUTED_VALUE"""),"Annual Plan AS-SVC-SUPPORT-SAM")</f>
        <v>Annual Plan AS-SVC-SUPPORT-SAM</v>
      </c>
      <c r="C157" s="9" t="str">
        <f ca="1">IFERROR(__xludf.DUMMYFUNCTION("""COMPUTED_VALUE"""),"Support Account Manager")</f>
        <v>Support Account Manager</v>
      </c>
      <c r="D157" s="8" t="str">
        <f ca="1">IFERROR(__xludf.DUMMYFUNCTION("""COMPUTED_VALUE"""),"Recurring")</f>
        <v>Recurring</v>
      </c>
      <c r="E157" s="9" t="str">
        <f ca="1">IFERROR(__xludf.DUMMYFUNCTION("""COMPUTED_VALUE"""),"Appspace Support Account Manager Add-on. Provides access to a designated Support Account Manager who understands your Appspace deployment and manages your support workflow")</f>
        <v>Appspace Support Account Manager Add-on. Provides access to a designated Support Account Manager who understands your Appspace deployment and manages your support workflow</v>
      </c>
      <c r="F157" s="8" t="str">
        <f ca="1">IFERROR(__xludf.DUMMYFUNCTION("""COMPUTED_VALUE"""),"USD")</f>
        <v>USD</v>
      </c>
      <c r="G157" s="8">
        <f ca="1">IFERROR(__xludf.DUMMYFUNCTION("""COMPUTED_VALUE"""),4000)</f>
        <v>4000</v>
      </c>
      <c r="H157" s="10">
        <f ca="1">IFERROR(__xludf.DUMMYFUNCTION("""COMPUTED_VALUE"""),48000)</f>
        <v>48000</v>
      </c>
    </row>
    <row r="158" spans="1:8">
      <c r="A158" s="8" t="str">
        <f ca="1">IFERROR(__xludf.DUMMYFUNCTION("""COMPUTED_VALUE"""),"AS-SVC-SUPPORT-STR")</f>
        <v>AS-SVC-SUPPORT-STR</v>
      </c>
      <c r="B158" s="8" t="str">
        <f ca="1">IFERROR(__xludf.DUMMYFUNCTION("""COMPUTED_VALUE"""),"Annual Plan AS-SVC-SUPPORT-STR")</f>
        <v>Annual Plan AS-SVC-SUPPORT-STR</v>
      </c>
      <c r="C158" s="9" t="str">
        <f ca="1">IFERROR(__xludf.DUMMYFUNCTION("""COMPUTED_VALUE"""),"Support Add-on - Strategic")</f>
        <v>Support Add-on - Strategic</v>
      </c>
      <c r="D158" s="8" t="str">
        <f ca="1">IFERROR(__xludf.DUMMYFUNCTION("""COMPUTED_VALUE"""),"Recurring")</f>
        <v>Recurring</v>
      </c>
      <c r="E158" s="9" t="str">
        <f ca="1">IFERROR(__xludf.DUMMYFUNCTION("""COMPUTED_VALUE"""),"Appspace Support Add-on - Strategic. 24-7 Appspace Customer Care support, 1-hour SLA, unlimited tickets, 20 ticket administrators, executive-level sponsorship, dedicated 6-person support team, prioritized ticket handling, and monthly ticket analytics.")</f>
        <v>Appspace Support Add-on - Strategic. 24-7 Appspace Customer Care support, 1-hour SLA, unlimited tickets, 20 ticket administrators, executive-level sponsorship, dedicated 6-person support team, prioritized ticket handling, and monthly ticket analytics.</v>
      </c>
      <c r="F158" s="8" t="str">
        <f ca="1">IFERROR(__xludf.DUMMYFUNCTION("""COMPUTED_VALUE"""),"USD")</f>
        <v>USD</v>
      </c>
      <c r="G158" s="8">
        <f ca="1">IFERROR(__xludf.DUMMYFUNCTION("""COMPUTED_VALUE"""),10000)</f>
        <v>10000</v>
      </c>
      <c r="H158" s="10">
        <f ca="1">IFERROR(__xludf.DUMMYFUNCTION("""COMPUTED_VALUE"""),120000)</f>
        <v>120000</v>
      </c>
    </row>
    <row r="159" spans="1:8">
      <c r="A159" s="8" t="str">
        <f ca="1">IFERROR(__xludf.DUMMYFUNCTION("""COMPUTED_VALUE"""),"AS-SVC-TRAINING-ACC")</f>
        <v>AS-SVC-TRAINING-ACC</v>
      </c>
      <c r="B159" s="8" t="str">
        <f ca="1">IFERROR(__xludf.DUMMYFUNCTION("""COMPUTED_VALUE"""),"Annual Plan AS-SVC-TRAINING-ACC")</f>
        <v>Annual Plan AS-SVC-TRAINING-ACC</v>
      </c>
      <c r="C159" s="9" t="str">
        <f ca="1">IFERROR(__xludf.DUMMYFUNCTION("""COMPUTED_VALUE"""),"All-Access Training")</f>
        <v>All-Access Training</v>
      </c>
      <c r="D159" s="8" t="str">
        <f ca="1">IFERROR(__xludf.DUMMYFUNCTION("""COMPUTED_VALUE"""),"Recurring")</f>
        <v>Recurring</v>
      </c>
      <c r="E159" s="9" t="str">
        <f ca="1">IFERROR(__xludf.DUMMYFUNCTION("""COMPUTED_VALUE"""),"Twelve month, unlimited monthly access to Appspace Basic &amp; Premium trainings and workshops.")</f>
        <v>Twelve month, unlimited monthly access to Appspace Basic &amp; Premium trainings and workshops.</v>
      </c>
      <c r="F159" s="8" t="str">
        <f ca="1">IFERROR(__xludf.DUMMYFUNCTION("""COMPUTED_VALUE"""),"USD")</f>
        <v>USD</v>
      </c>
      <c r="G159" s="8">
        <f ca="1">IFERROR(__xludf.DUMMYFUNCTION("""COMPUTED_VALUE"""),2000)</f>
        <v>2000</v>
      </c>
      <c r="H159" s="10">
        <f ca="1">IFERROR(__xludf.DUMMYFUNCTION("""COMPUTED_VALUE"""),24000)</f>
        <v>24000</v>
      </c>
    </row>
    <row r="160" spans="1:8">
      <c r="A160" s="8" t="str">
        <f ca="1">IFERROR(__xludf.DUMMYFUNCTION("""COMPUTED_VALUE"""),"AS-SVC-TRAINING-BASIC")</f>
        <v>AS-SVC-TRAINING-BASIC</v>
      </c>
      <c r="B160" s="8" t="str">
        <f ca="1">IFERROR(__xludf.DUMMYFUNCTION("""COMPUTED_VALUE"""),"AS-SVC-TRAINING-BASIC-LEGACY")</f>
        <v>AS-SVC-TRAINING-BASIC-LEGACY</v>
      </c>
      <c r="C160" s="9" t="str">
        <f ca="1">IFERROR(__xludf.DUMMYFUNCTION("""COMPUTED_VALUE"""),"Platform Training Basic")</f>
        <v>Platform Training Basic</v>
      </c>
      <c r="D160" s="8" t="str">
        <f ca="1">IFERROR(__xludf.DUMMYFUNCTION("""COMPUTED_VALUE"""),"One-Time")</f>
        <v>One-Time</v>
      </c>
      <c r="E160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0" s="8" t="str">
        <f ca="1">IFERROR(__xludf.DUMMYFUNCTION("""COMPUTED_VALUE"""),"USD")</f>
        <v>USD</v>
      </c>
      <c r="G160" s="8">
        <f ca="1">IFERROR(__xludf.DUMMYFUNCTION("""COMPUTED_VALUE"""),500)</f>
        <v>500</v>
      </c>
      <c r="H160" s="8">
        <f ca="1">IFERROR(__xludf.DUMMYFUNCTION("""COMPUTED_VALUE"""),500)</f>
        <v>500</v>
      </c>
    </row>
    <row r="161" spans="1:8">
      <c r="A161" s="8" t="str">
        <f ca="1">IFERROR(__xludf.DUMMYFUNCTION("""COMPUTED_VALUE"""),"AS-SVC-TRAINING-BASIC")</f>
        <v>AS-SVC-TRAINING-BASIC</v>
      </c>
      <c r="B161" s="8" t="str">
        <f ca="1">IFERROR(__xludf.DUMMYFUNCTION("""COMPUTED_VALUE"""),"AS-SVC-TRAINING-BASIC")</f>
        <v>AS-SVC-TRAINING-BASIC</v>
      </c>
      <c r="C161" s="9" t="str">
        <f ca="1">IFERROR(__xludf.DUMMYFUNCTION("""COMPUTED_VALUE"""),"Platform Training Basic")</f>
        <v>Platform Training Basic</v>
      </c>
      <c r="D161" s="8" t="str">
        <f ca="1">IFERROR(__xludf.DUMMYFUNCTION("""COMPUTED_VALUE"""),"One-Time")</f>
        <v>One-Time</v>
      </c>
      <c r="E161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1" s="8" t="str">
        <f ca="1">IFERROR(__xludf.DUMMYFUNCTION("""COMPUTED_VALUE"""),"USD")</f>
        <v>USD</v>
      </c>
      <c r="G161" s="8">
        <f ca="1">IFERROR(__xludf.DUMMYFUNCTION("""COMPUTED_VALUE"""),500)</f>
        <v>500</v>
      </c>
      <c r="H161" s="10">
        <f ca="1">IFERROR(__xludf.DUMMYFUNCTION("""COMPUTED_VALUE"""),500)</f>
        <v>500</v>
      </c>
    </row>
    <row r="162" spans="1:8">
      <c r="A162" s="8" t="str">
        <f ca="1">IFERROR(__xludf.DUMMYFUNCTION("""COMPUTED_VALUE"""),"AS-SVC-TRAINING-PREMIUM")</f>
        <v>AS-SVC-TRAINING-PREMIUM</v>
      </c>
      <c r="B162" s="8" t="str">
        <f ca="1">IFERROR(__xludf.DUMMYFUNCTION("""COMPUTED_VALUE"""),"AS-SVC-TRAINING-PREMIUM")</f>
        <v>AS-SVC-TRAINING-PREMIUM</v>
      </c>
      <c r="C162" s="9" t="str">
        <f ca="1">IFERROR(__xludf.DUMMYFUNCTION("""COMPUTED_VALUE"""),"Platform Training Premium")</f>
        <v>Platform Training Premium</v>
      </c>
      <c r="D162" s="8" t="str">
        <f ca="1">IFERROR(__xludf.DUMMYFUNCTION("""COMPUTED_VALUE"""),"One-Time")</f>
        <v>One-Time</v>
      </c>
      <c r="E162" s="9" t="str">
        <f ca="1">IFERROR(__xludf.DUMMYFUNCTION("""COMPUTED_VALUE"""),"Appspace Platform Training - Premium. Half-day workshop with Appspace Subject Matter Experts, offering hands-on experience through labs and interactive exercises.")</f>
        <v>Appspace Platform Training - Premium. Half-day workshop with Appspace Subject Matter Experts, offering hands-on experience through labs and interactive exercises.</v>
      </c>
      <c r="F162" s="8" t="str">
        <f ca="1">IFERROR(__xludf.DUMMYFUNCTION("""COMPUTED_VALUE"""),"USD")</f>
        <v>USD</v>
      </c>
      <c r="G162" s="8">
        <f ca="1">IFERROR(__xludf.DUMMYFUNCTION("""COMPUTED_VALUE"""),2500)</f>
        <v>2500</v>
      </c>
      <c r="H162" s="10">
        <f ca="1">IFERROR(__xludf.DUMMYFUNCTION("""COMPUTED_VALUE"""),2500)</f>
        <v>2500</v>
      </c>
    </row>
    <row r="163" spans="1:8">
      <c r="A163" s="8" t="str">
        <f ca="1">IFERROR(__xludf.DUMMYFUNCTION("""COMPUTED_VALUE"""),"AS-SVC-VM-QST-BASIC")</f>
        <v>AS-SVC-VM-QST-BASIC</v>
      </c>
      <c r="B163" s="8" t="str">
        <f ca="1">IFERROR(__xludf.DUMMYFUNCTION("""COMPUTED_VALUE"""),"AS-SVC-VM-QST-BASIC")</f>
        <v>AS-SVC-VM-QST-BASIC</v>
      </c>
      <c r="C163" s="9" t="str">
        <f ca="1">IFERROR(__xludf.DUMMYFUNCTION("""COMPUTED_VALUE"""),"Visitor Management Quick Start Basic")</f>
        <v>Visitor Management Quick Start Basic</v>
      </c>
      <c r="D163" s="8" t="str">
        <f ca="1">IFERROR(__xludf.DUMMYFUNCTION("""COMPUTED_VALUE"""),"One-Time")</f>
        <v>One-Time</v>
      </c>
      <c r="E163" s="9" t="str">
        <f ca="1">IFERROR(__xludf.DUMMYFUNCTION("""COMPUTED_VALUE"""),"Visitor Management Quick Start Basic - Discovery session, customized setup documentation, administrator essentials on-demand webinar, pre-go-live setup review.")</f>
        <v>Visitor Management Quick Start Basic - Discovery session, customized setup documentation, administrator essentials on-demand webinar, pre-go-live setup review.</v>
      </c>
      <c r="F163" s="8" t="str">
        <f ca="1">IFERROR(__xludf.DUMMYFUNCTION("""COMPUTED_VALUE"""),"USD")</f>
        <v>USD</v>
      </c>
      <c r="G163" s="8">
        <f ca="1">IFERROR(__xludf.DUMMYFUNCTION("""COMPUTED_VALUE"""),2500)</f>
        <v>2500</v>
      </c>
      <c r="H163" s="10">
        <f ca="1">IFERROR(__xludf.DUMMYFUNCTION("""COMPUTED_VALUE"""),2500)</f>
        <v>2500</v>
      </c>
    </row>
    <row r="164" spans="1:8">
      <c r="A164" s="8" t="str">
        <f ca="1">IFERROR(__xludf.DUMMYFUNCTION("""COMPUTED_VALUE"""),"AS-SVC-VM-QST-ELITE")</f>
        <v>AS-SVC-VM-QST-ELITE</v>
      </c>
      <c r="B164" s="8" t="str">
        <f ca="1">IFERROR(__xludf.DUMMYFUNCTION("""COMPUTED_VALUE"""),"AS-SVC-VM-QST-ELITE")</f>
        <v>AS-SVC-VM-QST-ELITE</v>
      </c>
      <c r="C164" s="9" t="str">
        <f ca="1">IFERROR(__xludf.DUMMYFUNCTION("""COMPUTED_VALUE"""),"Visitor Management Quick Start Elite")</f>
        <v>Visitor Management Quick Start Elite</v>
      </c>
      <c r="D164" s="8" t="str">
        <f ca="1">IFERROR(__xludf.DUMMYFUNCTION("""COMPUTED_VALUE"""),"One-Time")</f>
        <v>One-Time</v>
      </c>
      <c r="E164" s="9" t="str">
        <f ca="1">IFERROR(__xludf.DUMMYFUNCTION("""COMPUTED_VALUE"""),"Visitor Management Quick Start Elite - Mutliple-configuration implementation. Discovery workshops, configurations, badge printing setup, branded checkpoint templates, four customized checkpoint templates, documentation, administrator training.")</f>
        <v>Visitor Management Quick Start Elite - Mutliple-configuration implementation. Discovery workshops, configurations, badge printing setup, branded checkpoint templates, four customized checkpoint templates, documentation, administrator training.</v>
      </c>
      <c r="F164" s="8" t="str">
        <f ca="1">IFERROR(__xludf.DUMMYFUNCTION("""COMPUTED_VALUE"""),"USD")</f>
        <v>USD</v>
      </c>
      <c r="G164" s="8">
        <f ca="1">IFERROR(__xludf.DUMMYFUNCTION("""COMPUTED_VALUE"""),20000)</f>
        <v>20000</v>
      </c>
      <c r="H164" s="10">
        <f ca="1">IFERROR(__xludf.DUMMYFUNCTION("""COMPUTED_VALUE"""),20000)</f>
        <v>20000</v>
      </c>
    </row>
    <row r="165" spans="1:8">
      <c r="A165" s="8" t="str">
        <f ca="1">IFERROR(__xludf.DUMMYFUNCTION("""COMPUTED_VALUE"""),"AS-SVC-VM-QST-PREMIUM")</f>
        <v>AS-SVC-VM-QST-PREMIUM</v>
      </c>
      <c r="B165" s="8" t="str">
        <f ca="1">IFERROR(__xludf.DUMMYFUNCTION("""COMPUTED_VALUE"""),"AS-SVC-VM-QST-PREMIUM")</f>
        <v>AS-SVC-VM-QST-PREMIUM</v>
      </c>
      <c r="C165" s="9" t="str">
        <f ca="1">IFERROR(__xludf.DUMMYFUNCTION("""COMPUTED_VALUE"""),"Visitor Management Quick Start Premium")</f>
        <v>Visitor Management Quick Start Premium</v>
      </c>
      <c r="D165" s="8" t="str">
        <f ca="1">IFERROR(__xludf.DUMMYFUNCTION("""COMPUTED_VALUE"""),"One-Time")</f>
        <v>One-Time</v>
      </c>
      <c r="E165" s="9" t="str">
        <f ca="1">IFERROR(__xludf.DUMMYFUNCTION("""COMPUTED_VALUE"""),"Visitor Management Quick Start Premium - Single-configuration implementation. Discovery workshop, configuration, badge printing setup, branded checkpoint templates, two customized checkpoint templates, documentation, administrator training.")</f>
        <v>Visitor Management Quick Start Premium - Single-configuration implementation. Discovery workshop, configuration, badge printing setup, branded checkpoint templates, two customized checkpoint templates, documentation, administrator training.</v>
      </c>
      <c r="F165" s="8" t="str">
        <f ca="1">IFERROR(__xludf.DUMMYFUNCTION("""COMPUTED_VALUE"""),"USD")</f>
        <v>USD</v>
      </c>
      <c r="G165" s="8">
        <f ca="1">IFERROR(__xludf.DUMMYFUNCTION("""COMPUTED_VALUE"""),10000)</f>
        <v>10000</v>
      </c>
      <c r="H165" s="10">
        <f ca="1">IFERROR(__xludf.DUMMYFUNCTION("""COMPUTED_VALUE"""),10000)</f>
        <v>10000</v>
      </c>
    </row>
    <row r="166" spans="1:8">
      <c r="A166" s="8" t="str">
        <f ca="1">IFERROR(__xludf.DUMMYFUNCTION("""COMPUTED_VALUE"""),"AS-SVC-WF-BASIC")</f>
        <v>AS-SVC-WF-BASIC</v>
      </c>
      <c r="B166" s="8" t="str">
        <f ca="1">IFERROR(__xludf.DUMMYFUNCTION("""COMPUTED_VALUE"""),"AS-SVC-WF-BASIC")</f>
        <v>AS-SVC-WF-BASIC</v>
      </c>
      <c r="C166" s="9" t="str">
        <f ca="1">IFERROR(__xludf.DUMMYFUNCTION("""COMPUTED_VALUE"""),"Appspace Wayfinding Basic")</f>
        <v>Appspace Wayfinding Basic</v>
      </c>
      <c r="D166" s="8" t="str">
        <f ca="1">IFERROR(__xludf.DUMMYFUNCTION("""COMPUTED_VALUE"""),"One-Time")</f>
        <v>One-Time</v>
      </c>
      <c r="E166" s="9" t="str">
        <f ca="1">IFERROR(__xludf.DUMMYFUNCTION("""COMPUTED_VALUE"""),"Appspace Wayfinding")</f>
        <v>Appspace Wayfinding</v>
      </c>
      <c r="F166" s="8" t="str">
        <f ca="1">IFERROR(__xludf.DUMMYFUNCTION("""COMPUTED_VALUE"""),"USD")</f>
        <v>USD</v>
      </c>
      <c r="G166" s="8">
        <f ca="1">IFERROR(__xludf.DUMMYFUNCTION("""COMPUTED_VALUE"""),5000)</f>
        <v>5000</v>
      </c>
      <c r="H166" s="10">
        <f ca="1">IFERROR(__xludf.DUMMYFUNCTION("""COMPUTED_VALUE"""),5000)</f>
        <v>5000</v>
      </c>
    </row>
    <row r="167" spans="1:8">
      <c r="A167" s="8" t="str">
        <f ca="1">IFERROR(__xludf.DUMMYFUNCTION("""COMPUTED_VALUE"""),"AS-SVC-WF-BASIC")</f>
        <v>AS-SVC-WF-BASIC</v>
      </c>
      <c r="B167" s="8" t="str">
        <f ca="1">IFERROR(__xludf.DUMMYFUNCTION("""COMPUTED_VALUE"""),"AS-SVC-WF-BASIC With 2D Map")</f>
        <v>AS-SVC-WF-BASIC With 2D Map</v>
      </c>
      <c r="C167" s="9" t="str">
        <f ca="1">IFERROR(__xludf.DUMMYFUNCTION("""COMPUTED_VALUE"""),"Appspace Wayfinding Basic")</f>
        <v>Appspace Wayfinding Basic</v>
      </c>
      <c r="D167" s="8" t="str">
        <f ca="1">IFERROR(__xludf.DUMMYFUNCTION("""COMPUTED_VALUE"""),"One-Time")</f>
        <v>One-Time</v>
      </c>
      <c r="E167" s="9" t="str">
        <f ca="1">IFERROR(__xludf.DUMMYFUNCTION("""COMPUTED_VALUE"""),"Appspace Wayfinding")</f>
        <v>Appspace Wayfinding</v>
      </c>
      <c r="F167" s="8" t="str">
        <f ca="1">IFERROR(__xludf.DUMMYFUNCTION("""COMPUTED_VALUE"""),"USD")</f>
        <v>USD</v>
      </c>
      <c r="G167" s="8">
        <f ca="1">IFERROR(__xludf.DUMMYFUNCTION("""COMPUTED_VALUE"""),5000)</f>
        <v>5000</v>
      </c>
      <c r="H167" s="10">
        <f ca="1">IFERROR(__xludf.DUMMYFUNCTION("""COMPUTED_VALUE"""),5000)</f>
        <v>5000</v>
      </c>
    </row>
    <row r="168" spans="1:8">
      <c r="A168" s="8" t="str">
        <f ca="1">IFERROR(__xludf.DUMMYFUNCTION("""COMPUTED_VALUE"""),"AS-SVC-WF-BASIC")</f>
        <v>AS-SVC-WF-BASIC</v>
      </c>
      <c r="B168" s="8" t="str">
        <f ca="1">IFERROR(__xludf.DUMMYFUNCTION("""COMPUTED_VALUE"""),"AS-SVC-WF-BASIC With 3D Map")</f>
        <v>AS-SVC-WF-BASIC With 3D Map</v>
      </c>
      <c r="C168" s="9" t="str">
        <f ca="1">IFERROR(__xludf.DUMMYFUNCTION("""COMPUTED_VALUE"""),"Appspace Wayfinding Basic")</f>
        <v>Appspace Wayfinding Basic</v>
      </c>
      <c r="D168" s="8" t="str">
        <f ca="1">IFERROR(__xludf.DUMMYFUNCTION("""COMPUTED_VALUE"""),"One-Time")</f>
        <v>One-Time</v>
      </c>
      <c r="E168" s="9" t="str">
        <f ca="1">IFERROR(__xludf.DUMMYFUNCTION("""COMPUTED_VALUE"""),"Appspace Wayfinding")</f>
        <v>Appspace Wayfinding</v>
      </c>
      <c r="F168" s="8" t="str">
        <f ca="1">IFERROR(__xludf.DUMMYFUNCTION("""COMPUTED_VALUE"""),"USD")</f>
        <v>USD</v>
      </c>
      <c r="G168" s="8">
        <f ca="1">IFERROR(__xludf.DUMMYFUNCTION("""COMPUTED_VALUE"""),5000)</f>
        <v>5000</v>
      </c>
      <c r="H168" s="10">
        <f ca="1">IFERROR(__xludf.DUMMYFUNCTION("""COMPUTED_VALUE"""),5000)</f>
        <v>5000</v>
      </c>
    </row>
    <row r="169" spans="1:8">
      <c r="A169" s="8" t="str">
        <f ca="1">IFERROR(__xludf.DUMMYFUNCTION("""COMPUTED_VALUE"""),"AS-SVC-WF-ELITE")</f>
        <v>AS-SVC-WF-ELITE</v>
      </c>
      <c r="B169" s="8" t="str">
        <f ca="1">IFERROR(__xludf.DUMMYFUNCTION("""COMPUTED_VALUE"""),"AS-SVC-WF-ELITE")</f>
        <v>AS-SVC-WF-ELITE</v>
      </c>
      <c r="C169" s="9" t="str">
        <f ca="1">IFERROR(__xludf.DUMMYFUNCTION("""COMPUTED_VALUE"""),"Wayfinding - Elite")</f>
        <v>Wayfinding - Elite</v>
      </c>
      <c r="D169" s="8" t="str">
        <f ca="1">IFERROR(__xludf.DUMMYFUNCTION("""COMPUTED_VALUE"""),"One-Time")</f>
        <v>One-Time</v>
      </c>
      <c r="E169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9" s="8" t="str">
        <f ca="1">IFERROR(__xludf.DUMMYFUNCTION("""COMPUTED_VALUE"""),"USD")</f>
        <v>USD</v>
      </c>
      <c r="G169" s="8">
        <f ca="1">IFERROR(__xludf.DUMMYFUNCTION("""COMPUTED_VALUE"""),20000)</f>
        <v>20000</v>
      </c>
      <c r="H169" s="10">
        <f ca="1">IFERROR(__xludf.DUMMYFUNCTION("""COMPUTED_VALUE"""),20000)</f>
        <v>20000</v>
      </c>
    </row>
    <row r="170" spans="1:8">
      <c r="A170" s="8" t="str">
        <f ca="1">IFERROR(__xludf.DUMMYFUNCTION("""COMPUTED_VALUE"""),"AS-SVC-WF-ELITE")</f>
        <v>AS-SVC-WF-ELITE</v>
      </c>
      <c r="B170" s="8" t="str">
        <f ca="1">IFERROR(__xludf.DUMMYFUNCTION("""COMPUTED_VALUE"""),"AS-SVC-WF-ELITE 2D")</f>
        <v>AS-SVC-WF-ELITE 2D</v>
      </c>
      <c r="C170" s="9" t="str">
        <f ca="1">IFERROR(__xludf.DUMMYFUNCTION("""COMPUTED_VALUE"""),"Wayfinding - Elite")</f>
        <v>Wayfinding - Elite</v>
      </c>
      <c r="D170" s="8" t="str">
        <f ca="1">IFERROR(__xludf.DUMMYFUNCTION("""COMPUTED_VALUE"""),"One-Time")</f>
        <v>One-Time</v>
      </c>
      <c r="E170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70" s="8" t="str">
        <f ca="1">IFERROR(__xludf.DUMMYFUNCTION("""COMPUTED_VALUE"""),"USD")</f>
        <v>USD</v>
      </c>
      <c r="G170" s="8">
        <f ca="1">IFERROR(__xludf.DUMMYFUNCTION("""COMPUTED_VALUE"""),25000)</f>
        <v>25000</v>
      </c>
      <c r="H170" s="10">
        <f ca="1">IFERROR(__xludf.DUMMYFUNCTION("""COMPUTED_VALUE"""),25000)</f>
        <v>25000</v>
      </c>
    </row>
    <row r="171" spans="1:8">
      <c r="A171" s="8" t="str">
        <f ca="1">IFERROR(__xludf.DUMMYFUNCTION("""COMPUTED_VALUE"""),"AS-SVC-WF-ELITE")</f>
        <v>AS-SVC-WF-ELITE</v>
      </c>
      <c r="B171" s="8" t="str">
        <f ca="1">IFERROR(__xludf.DUMMYFUNCTION("""COMPUTED_VALUE"""),"AS-SVC-WF-ELITE 3D")</f>
        <v>AS-SVC-WF-ELITE 3D</v>
      </c>
      <c r="C171" s="9" t="str">
        <f ca="1">IFERROR(__xludf.DUMMYFUNCTION("""COMPUTED_VALUE"""),"Wayfinding - Elite")</f>
        <v>Wayfinding - Elite</v>
      </c>
      <c r="D171" s="8" t="str">
        <f ca="1">IFERROR(__xludf.DUMMYFUNCTION("""COMPUTED_VALUE"""),"One-Time")</f>
        <v>One-Time</v>
      </c>
      <c r="E171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71" s="8" t="str">
        <f ca="1">IFERROR(__xludf.DUMMYFUNCTION("""COMPUTED_VALUE"""),"USD")</f>
        <v>USD</v>
      </c>
      <c r="G171" s="8">
        <f ca="1">IFERROR(__xludf.DUMMYFUNCTION("""COMPUTED_VALUE"""),25000)</f>
        <v>25000</v>
      </c>
      <c r="H171" s="10">
        <f ca="1">IFERROR(__xludf.DUMMYFUNCTION("""COMPUTED_VALUE"""),25000)</f>
        <v>25000</v>
      </c>
    </row>
    <row r="172" spans="1:8">
      <c r="A172" s="8" t="str">
        <f ca="1">IFERROR(__xludf.DUMMYFUNCTION("""COMPUTED_VALUE"""),"AS-SVC-WF-PREMIUM")</f>
        <v>AS-SVC-WF-PREMIUM</v>
      </c>
      <c r="B172" s="8" t="str">
        <f ca="1">IFERROR(__xludf.DUMMYFUNCTION("""COMPUTED_VALUE"""),"AS-SVC-WF-PREMIUM With 2D Map")</f>
        <v>AS-SVC-WF-PREMIUM With 2D Map</v>
      </c>
      <c r="C172" s="9" t="str">
        <f ca="1">IFERROR(__xludf.DUMMYFUNCTION("""COMPUTED_VALUE"""),"Appspace Wayfinding Premium")</f>
        <v>Appspace Wayfinding Premium</v>
      </c>
      <c r="D172" s="8" t="str">
        <f ca="1">IFERROR(__xludf.DUMMYFUNCTION("""COMPUTED_VALUE"""),"One-Time")</f>
        <v>One-Time</v>
      </c>
      <c r="E172" s="9" t="str">
        <f ca="1">IFERROR(__xludf.DUMMYFUNCTION("""COMPUTED_VALUE"""),"Wayfinding - Premium")</f>
        <v>Wayfinding - Premium</v>
      </c>
      <c r="F172" s="8" t="str">
        <f ca="1">IFERROR(__xludf.DUMMYFUNCTION("""COMPUTED_VALUE"""),"USD")</f>
        <v>USD</v>
      </c>
      <c r="G172" s="8">
        <f ca="1">IFERROR(__xludf.DUMMYFUNCTION("""COMPUTED_VALUE"""),10000)</f>
        <v>10000</v>
      </c>
      <c r="H172" s="10">
        <f ca="1">IFERROR(__xludf.DUMMYFUNCTION("""COMPUTED_VALUE"""),10000)</f>
        <v>10000</v>
      </c>
    </row>
    <row r="173" spans="1:8">
      <c r="A173" s="8" t="str">
        <f ca="1">IFERROR(__xludf.DUMMYFUNCTION("""COMPUTED_VALUE"""),"AS-SVC-WF-PREMIUM")</f>
        <v>AS-SVC-WF-PREMIUM</v>
      </c>
      <c r="B173" s="8" t="str">
        <f ca="1">IFERROR(__xludf.DUMMYFUNCTION("""COMPUTED_VALUE"""),"AS-SVC-WF-PREMIUM")</f>
        <v>AS-SVC-WF-PREMIUM</v>
      </c>
      <c r="C173" s="9" t="str">
        <f ca="1">IFERROR(__xludf.DUMMYFUNCTION("""COMPUTED_VALUE"""),"Appspace Wayfinding Premium")</f>
        <v>Appspace Wayfinding Premium</v>
      </c>
      <c r="D173" s="8" t="str">
        <f ca="1">IFERROR(__xludf.DUMMYFUNCTION("""COMPUTED_VALUE"""),"One-Time")</f>
        <v>One-Time</v>
      </c>
      <c r="E173" s="9" t="str">
        <f ca="1">IFERROR(__xludf.DUMMYFUNCTION("""COMPUTED_VALUE"""),"Wayfinding - Premium")</f>
        <v>Wayfinding - Premium</v>
      </c>
      <c r="F173" s="8" t="str">
        <f ca="1">IFERROR(__xludf.DUMMYFUNCTION("""COMPUTED_VALUE"""),"USD")</f>
        <v>USD</v>
      </c>
      <c r="G173" s="8">
        <f ca="1">IFERROR(__xludf.DUMMYFUNCTION("""COMPUTED_VALUE"""),10000)</f>
        <v>10000</v>
      </c>
      <c r="H173" s="10">
        <f ca="1">IFERROR(__xludf.DUMMYFUNCTION("""COMPUTED_VALUE"""),10000)</f>
        <v>10000</v>
      </c>
    </row>
    <row r="174" spans="1:8">
      <c r="A174" s="8" t="str">
        <f ca="1">IFERROR(__xludf.DUMMYFUNCTION("""COMPUTED_VALUE"""),"AS-SVC-WPM-ADVISORY")</f>
        <v>AS-SVC-WPM-ADVISORY</v>
      </c>
      <c r="B174" s="8" t="str">
        <f ca="1">IFERROR(__xludf.DUMMYFUNCTION("""COMPUTED_VALUE"""),"Annual Plan AS-SVC-WPM-ADVISORY")</f>
        <v>Annual Plan AS-SVC-WPM-ADVISORY</v>
      </c>
      <c r="C174" s="9" t="str">
        <f ca="1">IFERROR(__xludf.DUMMYFUNCTION("""COMPUTED_VALUE"""),"Workplace Management Advisory")</f>
        <v>Workplace Management Advisory</v>
      </c>
      <c r="D174" s="8" t="str">
        <f ca="1">IFERROR(__xludf.DUMMYFUNCTION("""COMPUTED_VALUE"""),"Recurring")</f>
        <v>Recurring</v>
      </c>
      <c r="E174" s="9" t="str">
        <f ca="1">IFERROR(__xludf.DUMMYFUNCTION("""COMPUTED_VALUE"""),"Workplace Management Advisory - Comprehensive Workplace Management strategy for your digital &amp; physical workplaces. Ongoing strategic insight into platform usage, industry trends, and product development.")</f>
        <v>Workplace Management Advisory - Comprehensive Workplace Management strategy for your digital &amp; physical workplaces. Ongoing strategic insight into platform usage, industry trends, and product development.</v>
      </c>
      <c r="F174" s="8" t="str">
        <f ca="1">IFERROR(__xludf.DUMMYFUNCTION("""COMPUTED_VALUE"""),"USD")</f>
        <v>USD</v>
      </c>
      <c r="G174" s="8">
        <f ca="1">IFERROR(__xludf.DUMMYFUNCTION("""COMPUTED_VALUE"""),3000)</f>
        <v>3000</v>
      </c>
      <c r="H174" s="10">
        <f ca="1">IFERROR(__xludf.DUMMYFUNCTION("""COMPUTED_VALUE"""),36000)</f>
        <v>36000</v>
      </c>
    </row>
    <row r="175" spans="1:8">
      <c r="A175" s="8" t="str">
        <f ca="1">IFERROR(__xludf.DUMMYFUNCTION("""COMPUTED_VALUE"""),"AS-SVC-WPM-QST-ELITE")</f>
        <v>AS-SVC-WPM-QST-ELITE</v>
      </c>
      <c r="B175" s="8" t="str">
        <f ca="1">IFERROR(__xludf.DUMMYFUNCTION("""COMPUTED_VALUE"""),"AS-SVC-WPM-QST-ELITE")</f>
        <v>AS-SVC-WPM-QST-ELITE</v>
      </c>
      <c r="C175" s="9" t="str">
        <f ca="1">IFERROR(__xludf.DUMMYFUNCTION("""COMPUTED_VALUE"""),"Workplace Management Quick Start Elite")</f>
        <v>Workplace Management Quick Start Elite</v>
      </c>
      <c r="D175" s="8" t="str">
        <f ca="1">IFERROR(__xludf.DUMMYFUNCTION("""COMPUTED_VALUE"""),"One-Time")</f>
        <v>One-Time</v>
      </c>
      <c r="E175" s="9" t="str">
        <f ca="1">IFERROR(__xludf.DUMMYFUNCTION("""COMPUTED_VALUE"""),"Workplace Management Quick Start Elite - Multiple-location implementation. Customized implementation plan, Elite Quick Start for Space Reservation, Room Booking, Visitor Management, Elite Wayfinding kiosk. Includes up to first 15 floors.")</f>
        <v>Workplace Management Quick Start Elite - Multiple-location implementation. Customized implementation plan, Elite Quick Start for Space Reservation, Room Booking, Visitor Management, Elite Wayfinding kiosk. Includes up to first 15 floors.</v>
      </c>
      <c r="F175" s="8" t="str">
        <f ca="1">IFERROR(__xludf.DUMMYFUNCTION("""COMPUTED_VALUE"""),"USD")</f>
        <v>USD</v>
      </c>
      <c r="G175" s="8">
        <f ca="1">IFERROR(__xludf.DUMMYFUNCTION("""COMPUTED_VALUE"""),80000)</f>
        <v>80000</v>
      </c>
      <c r="H175" s="10">
        <f ca="1">IFERROR(__xludf.DUMMYFUNCTION("""COMPUTED_VALUE"""),80000)</f>
        <v>80000</v>
      </c>
    </row>
    <row r="176" spans="1:8">
      <c r="A176" s="8" t="str">
        <f ca="1">IFERROR(__xludf.DUMMYFUNCTION("""COMPUTED_VALUE"""),"AS-SVC-WPM-QST-PREMIUM")</f>
        <v>AS-SVC-WPM-QST-PREMIUM</v>
      </c>
      <c r="B176" s="8" t="str">
        <f ca="1">IFERROR(__xludf.DUMMYFUNCTION("""COMPUTED_VALUE"""),"AS-SVC-WPM-QST-PREMIUM")</f>
        <v>AS-SVC-WPM-QST-PREMIUM</v>
      </c>
      <c r="C176" s="9" t="str">
        <f ca="1">IFERROR(__xludf.DUMMYFUNCTION("""COMPUTED_VALUE"""),"Workplace Management Quick Start Premium")</f>
        <v>Workplace Management Quick Start Premium</v>
      </c>
      <c r="D176" s="8" t="str">
        <f ca="1">IFERROR(__xludf.DUMMYFUNCTION("""COMPUTED_VALUE"""),"One-Time")</f>
        <v>One-Time</v>
      </c>
      <c r="E176" s="9" t="str">
        <f ca="1">IFERROR(__xludf.DUMMYFUNCTION("""COMPUTED_VALUE"""),"Workplace Management Quick Start Premium - Single-location implementation. Customized implementation plan, Premium Quick Start for Space Reservation, Room Booking, Visitor Management, Elite Wayfinding Kiosk. Includes up to first 10 floors.")</f>
        <v>Workplace Management Quick Start Premium - Single-location implementation. Customized implementation plan, Premium Quick Start for Space Reservation, Room Booking, Visitor Management, Elite Wayfinding Kiosk. Includes up to first 10 floors.</v>
      </c>
      <c r="F176" s="8" t="str">
        <f ca="1">IFERROR(__xludf.DUMMYFUNCTION("""COMPUTED_VALUE"""),"USD")</f>
        <v>USD</v>
      </c>
      <c r="G176" s="8">
        <f ca="1">IFERROR(__xludf.DUMMYFUNCTION("""COMPUTED_VALUE"""),50000)</f>
        <v>50000</v>
      </c>
      <c r="H176" s="10">
        <f ca="1">IFERROR(__xludf.DUMMYFUNCTION("""COMPUTED_VALUE"""),50000)</f>
        <v>50000</v>
      </c>
    </row>
    <row r="177" spans="1:8">
      <c r="A177" s="8" t="str">
        <f ca="1">IFERROR(__xludf.DUMMYFUNCTION("""COMPUTED_VALUE"""),"AS-SVC-WXP-ADVISORY")</f>
        <v>AS-SVC-WXP-ADVISORY</v>
      </c>
      <c r="B177" s="8" t="str">
        <f ca="1">IFERROR(__xludf.DUMMYFUNCTION("""COMPUTED_VALUE"""),"Annual Plan AS-SVC-WXP-ADVISORY")</f>
        <v>Annual Plan AS-SVC-WXP-ADVISORY</v>
      </c>
      <c r="C177" s="9" t="str">
        <f ca="1">IFERROR(__xludf.DUMMYFUNCTION("""COMPUTED_VALUE"""),"Workplace Experience Advisory")</f>
        <v>Workplace Experience Advisory</v>
      </c>
      <c r="D177" s="8" t="str">
        <f ca="1">IFERROR(__xludf.DUMMYFUNCTION("""COMPUTED_VALUE"""),"Recurring")</f>
        <v>Recurring</v>
      </c>
      <c r="E177" s="9" t="str">
        <f ca="1">IFERROR(__xludf.DUMMYFUNCTION("""COMPUTED_VALUE"""),"Workplace Experience Advisory - Comprehensive strategy for your digital &amp; physical workplaces. Ongoing strategic insights into platform usage, industry trends and product development.")</f>
        <v>Workplace Experience Advisory - Comprehensive strategy for your digital &amp; physical workplaces. Ongoing strategic insights into platform usage, industry trends and product development.</v>
      </c>
      <c r="F177" s="8" t="str">
        <f ca="1">IFERROR(__xludf.DUMMYFUNCTION("""COMPUTED_VALUE"""),"USD")</f>
        <v>USD</v>
      </c>
      <c r="G177" s="8">
        <f ca="1">IFERROR(__xludf.DUMMYFUNCTION("""COMPUTED_VALUE"""),4000)</f>
        <v>4000</v>
      </c>
      <c r="H177" s="10">
        <f ca="1">IFERROR(__xludf.DUMMYFUNCTION("""COMPUTED_VALUE"""),48000)</f>
        <v>48000</v>
      </c>
    </row>
    <row r="178" spans="1:8">
      <c r="A178" s="8" t="str">
        <f ca="1">IFERROR(__xludf.DUMMYFUNCTION("""COMPUTED_VALUE"""),"AS-USR-SUPPORT-CL")</f>
        <v>AS-USR-SUPPORT-CL</v>
      </c>
      <c r="B178" s="8" t="str">
        <f ca="1">IFERROR(__xludf.DUMMYFUNCTION("""COMPUTED_VALUE"""),"Custom Plan AS-USR-SUPPORT-CL")</f>
        <v>Custom Plan AS-USR-SUPPORT-CL</v>
      </c>
      <c r="C178" s="9" t="str">
        <f ca="1">IFERROR(__xludf.DUMMYFUNCTION("""COMPUTED_VALUE"""),"Support User License")</f>
        <v>Support User License</v>
      </c>
      <c r="D178" s="8" t="str">
        <f ca="1">IFERROR(__xludf.DUMMYFUNCTION("""COMPUTED_VALUE"""),"Recurring")</f>
        <v>Recurring</v>
      </c>
      <c r="E178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8" s="8" t="str">
        <f ca="1">IFERROR(__xludf.DUMMYFUNCTION("""COMPUTED_VALUE"""),"USD")</f>
        <v>USD</v>
      </c>
      <c r="G178" s="8">
        <f ca="1">IFERROR(__xludf.DUMMYFUNCTION("""COMPUTED_VALUE"""),25)</f>
        <v>25</v>
      </c>
      <c r="H178" s="8">
        <f ca="1">IFERROR(__xludf.DUMMYFUNCTION("""COMPUTED_VALUE"""),300)</f>
        <v>300</v>
      </c>
    </row>
    <row r="179" spans="1:8">
      <c r="A179" s="8" t="str">
        <f ca="1">IFERROR(__xludf.DUMMYFUNCTION("""COMPUTED_VALUE"""),"AS-USR-SUPPORT-CL")</f>
        <v>AS-USR-SUPPORT-CL</v>
      </c>
      <c r="B179" s="8" t="str">
        <f ca="1">IFERROR(__xludf.DUMMYFUNCTION("""COMPUTED_VALUE"""),"Monthly AS-USR-SUPPORT-CL")</f>
        <v>Monthly AS-USR-SUPPORT-CL</v>
      </c>
      <c r="C179" s="9" t="str">
        <f ca="1">IFERROR(__xludf.DUMMYFUNCTION("""COMPUTED_VALUE"""),"Support User License")</f>
        <v>Support User License</v>
      </c>
      <c r="D179" s="8" t="str">
        <f ca="1">IFERROR(__xludf.DUMMYFUNCTION("""COMPUTED_VALUE"""),"Recurring")</f>
        <v>Recurring</v>
      </c>
      <c r="E179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9" s="8" t="str">
        <f ca="1">IFERROR(__xludf.DUMMYFUNCTION("""COMPUTED_VALUE"""),"USD")</f>
        <v>USD</v>
      </c>
      <c r="G179" s="8">
        <f ca="1">IFERROR(__xludf.DUMMYFUNCTION("""COMPUTED_VALUE"""),30)</f>
        <v>30</v>
      </c>
      <c r="H179" s="8">
        <f ca="1">IFERROR(__xludf.DUMMYFUNCTION("""COMPUTED_VALUE"""),360)</f>
        <v>360</v>
      </c>
    </row>
    <row r="180" spans="1:8">
      <c r="A180" s="8" t="str">
        <f ca="1">IFERROR(__xludf.DUMMYFUNCTION("""COMPUTED_VALUE"""),"AS-USR-SUPPORT-CL")</f>
        <v>AS-USR-SUPPORT-CL</v>
      </c>
      <c r="B180" s="8" t="str">
        <f ca="1">IFERROR(__xludf.DUMMYFUNCTION("""COMPUTED_VALUE"""),"Annual Plan AS-USR-SUPPORT-CL")</f>
        <v>Annual Plan AS-USR-SUPPORT-CL</v>
      </c>
      <c r="C180" s="9" t="str">
        <f ca="1">IFERROR(__xludf.DUMMYFUNCTION("""COMPUTED_VALUE"""),"Support User License")</f>
        <v>Support User License</v>
      </c>
      <c r="D180" s="8" t="str">
        <f ca="1">IFERROR(__xludf.DUMMYFUNCTION("""COMPUTED_VALUE"""),"Recurring")</f>
        <v>Recurring</v>
      </c>
      <c r="E180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0" s="8" t="str">
        <f ca="1">IFERROR(__xludf.DUMMYFUNCTION("""COMPUTED_VALUE"""),"USD")</f>
        <v>USD</v>
      </c>
      <c r="G180" s="8">
        <f ca="1">IFERROR(__xludf.DUMMYFUNCTION("""COMPUTED_VALUE"""),25)</f>
        <v>25</v>
      </c>
      <c r="H180" s="8">
        <f ca="1">IFERROR(__xludf.DUMMYFUNCTION("""COMPUTED_VALUE"""),300)</f>
        <v>300</v>
      </c>
    </row>
    <row r="181" spans="1:8">
      <c r="A181" s="8" t="str">
        <f ca="1">IFERROR(__xludf.DUMMYFUNCTION("""COMPUTED_VALUE"""),"AS-USR-SUPPORT-CL")</f>
        <v>AS-USR-SUPPORT-CL</v>
      </c>
      <c r="B181" s="8" t="str">
        <f ca="1">IFERROR(__xludf.DUMMYFUNCTION("""COMPUTED_VALUE"""),"Prepaid Plan AS-USR-SUPPORT-CL")</f>
        <v>Prepaid Plan AS-USR-SUPPORT-CL</v>
      </c>
      <c r="C181" s="9" t="str">
        <f ca="1">IFERROR(__xludf.DUMMYFUNCTION("""COMPUTED_VALUE"""),"Support User License")</f>
        <v>Support User License</v>
      </c>
      <c r="D181" s="8" t="str">
        <f ca="1">IFERROR(__xludf.DUMMYFUNCTION("""COMPUTED_VALUE"""),"Recurring")</f>
        <v>Recurring</v>
      </c>
      <c r="E181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1" s="8" t="str">
        <f ca="1">IFERROR(__xludf.DUMMYFUNCTION("""COMPUTED_VALUE"""),"USD")</f>
        <v>USD</v>
      </c>
      <c r="G181" s="8">
        <f ca="1">IFERROR(__xludf.DUMMYFUNCTION("""COMPUTED_VALUE"""),25)</f>
        <v>25</v>
      </c>
      <c r="H181" s="8">
        <f ca="1">IFERROR(__xludf.DUMMYFUNCTION("""COMPUTED_VALUE"""),300)</f>
        <v>300</v>
      </c>
    </row>
    <row r="182" spans="1:8">
      <c r="A182" s="8" t="str">
        <f ca="1">IFERROR(__xludf.DUMMYFUNCTION("""COMPUTED_VALUE"""),"AS-USR-SUPPORT-OP")</f>
        <v>AS-USR-SUPPORT-OP</v>
      </c>
      <c r="B182" s="8" t="str">
        <f ca="1">IFERROR(__xludf.DUMMYFUNCTION("""COMPUTED_VALUE"""),"Monthly AS-USR-SUPPORT-OP")</f>
        <v>Monthly AS-USR-SUPPORT-OP</v>
      </c>
      <c r="C182" s="9" t="str">
        <f ca="1">IFERROR(__xludf.DUMMYFUNCTION("""COMPUTED_VALUE"""),"Support User License")</f>
        <v>Support User License</v>
      </c>
      <c r="D182" s="8" t="str">
        <f ca="1">IFERROR(__xludf.DUMMYFUNCTION("""COMPUTED_VALUE"""),"Recurring")</f>
        <v>Recurring</v>
      </c>
      <c r="E182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2" s="8" t="str">
        <f ca="1">IFERROR(__xludf.DUMMYFUNCTION("""COMPUTED_VALUE"""),"USD")</f>
        <v>USD</v>
      </c>
      <c r="G182" s="8">
        <f ca="1">IFERROR(__xludf.DUMMYFUNCTION("""COMPUTED_VALUE"""),60)</f>
        <v>60</v>
      </c>
      <c r="H182" s="8">
        <f ca="1">IFERROR(__xludf.DUMMYFUNCTION("""COMPUTED_VALUE"""),720)</f>
        <v>720</v>
      </c>
    </row>
    <row r="183" spans="1:8">
      <c r="A183" s="8" t="str">
        <f ca="1">IFERROR(__xludf.DUMMYFUNCTION("""COMPUTED_VALUE"""),"AS-USR-SUPPORT-OP")</f>
        <v>AS-USR-SUPPORT-OP</v>
      </c>
      <c r="B183" s="8" t="str">
        <f ca="1">IFERROR(__xludf.DUMMYFUNCTION("""COMPUTED_VALUE"""),"Prepaid Plan AS-USR-SUPPORT-OP")</f>
        <v>Prepaid Plan AS-USR-SUPPORT-OP</v>
      </c>
      <c r="C183" s="9" t="str">
        <f ca="1">IFERROR(__xludf.DUMMYFUNCTION("""COMPUTED_VALUE"""),"Support User License")</f>
        <v>Support User License</v>
      </c>
      <c r="D183" s="8" t="str">
        <f ca="1">IFERROR(__xludf.DUMMYFUNCTION("""COMPUTED_VALUE"""),"Recurring")</f>
        <v>Recurring</v>
      </c>
      <c r="E183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3" s="8" t="str">
        <f ca="1">IFERROR(__xludf.DUMMYFUNCTION("""COMPUTED_VALUE"""),"USD")</f>
        <v>USD</v>
      </c>
      <c r="G183" s="8">
        <f ca="1">IFERROR(__xludf.DUMMYFUNCTION("""COMPUTED_VALUE"""),50)</f>
        <v>50</v>
      </c>
      <c r="H183" s="8">
        <f ca="1">IFERROR(__xludf.DUMMYFUNCTION("""COMPUTED_VALUE"""),600)</f>
        <v>600</v>
      </c>
    </row>
    <row r="184" spans="1:8">
      <c r="A184" s="8" t="str">
        <f ca="1">IFERROR(__xludf.DUMMYFUNCTION("""COMPUTED_VALUE"""),"AS-USR-SUPPORT-OP")</f>
        <v>AS-USR-SUPPORT-OP</v>
      </c>
      <c r="B184" s="8" t="str">
        <f ca="1">IFERROR(__xludf.DUMMYFUNCTION("""COMPUTED_VALUE"""),"Custom Plan AS-USR-SUPPORT-OP")</f>
        <v>Custom Plan AS-USR-SUPPORT-OP</v>
      </c>
      <c r="C184" s="9" t="str">
        <f ca="1">IFERROR(__xludf.DUMMYFUNCTION("""COMPUTED_VALUE"""),"Support User License")</f>
        <v>Support User License</v>
      </c>
      <c r="D184" s="8" t="str">
        <f ca="1">IFERROR(__xludf.DUMMYFUNCTION("""COMPUTED_VALUE"""),"Recurring")</f>
        <v>Recurring</v>
      </c>
      <c r="E184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4" s="8" t="str">
        <f ca="1">IFERROR(__xludf.DUMMYFUNCTION("""COMPUTED_VALUE"""),"USD")</f>
        <v>USD</v>
      </c>
      <c r="G184" s="8">
        <f ca="1">IFERROR(__xludf.DUMMYFUNCTION("""COMPUTED_VALUE"""),50)</f>
        <v>50</v>
      </c>
      <c r="H184" s="8">
        <f ca="1">IFERROR(__xludf.DUMMYFUNCTION("""COMPUTED_VALUE"""),600)</f>
        <v>600</v>
      </c>
    </row>
    <row r="185" spans="1:8">
      <c r="A185" s="8" t="str">
        <f ca="1">IFERROR(__xludf.DUMMYFUNCTION("""COMPUTED_VALUE"""),"AS-USR-SUPPORT-OP")</f>
        <v>AS-USR-SUPPORT-OP</v>
      </c>
      <c r="B185" s="8" t="str">
        <f ca="1">IFERROR(__xludf.DUMMYFUNCTION("""COMPUTED_VALUE"""),"Annual Plan AS-USR-SUPPORT-OP")</f>
        <v>Annual Plan AS-USR-SUPPORT-OP</v>
      </c>
      <c r="C185" s="9" t="str">
        <f ca="1">IFERROR(__xludf.DUMMYFUNCTION("""COMPUTED_VALUE"""),"Support User License")</f>
        <v>Support User License</v>
      </c>
      <c r="D185" s="8" t="str">
        <f ca="1">IFERROR(__xludf.DUMMYFUNCTION("""COMPUTED_VALUE"""),"Recurring")</f>
        <v>Recurring</v>
      </c>
      <c r="E185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5" s="8" t="str">
        <f ca="1">IFERROR(__xludf.DUMMYFUNCTION("""COMPUTED_VALUE"""),"USD")</f>
        <v>USD</v>
      </c>
      <c r="G185" s="8">
        <f ca="1">IFERROR(__xludf.DUMMYFUNCTION("""COMPUTED_VALUE"""),50)</f>
        <v>50</v>
      </c>
      <c r="H185" s="8">
        <f ca="1">IFERROR(__xludf.DUMMYFUNCTION("""COMPUTED_VALUE"""),600)</f>
        <v>600</v>
      </c>
    </row>
    <row r="186" spans="1:8">
      <c r="A186" s="8" t="str">
        <f ca="1">IFERROR(__xludf.DUMMYFUNCTION("""COMPUTED_VALUE"""),"AS-USR-SUPPORT-PV")</f>
        <v>AS-USR-SUPPORT-PV</v>
      </c>
      <c r="B186" s="8" t="str">
        <f ca="1">IFERROR(__xludf.DUMMYFUNCTION("""COMPUTED_VALUE"""),"Monthly AS-USR-SUPPORT-PV")</f>
        <v>Monthly AS-USR-SUPPORT-PV</v>
      </c>
      <c r="C186" s="9" t="str">
        <f ca="1">IFERROR(__xludf.DUMMYFUNCTION("""COMPUTED_VALUE"""),"Support User License")</f>
        <v>Support User License</v>
      </c>
      <c r="D186" s="8" t="str">
        <f ca="1">IFERROR(__xludf.DUMMYFUNCTION("""COMPUTED_VALUE"""),"Recurring")</f>
        <v>Recurring</v>
      </c>
      <c r="E18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6" s="8" t="str">
        <f ca="1">IFERROR(__xludf.DUMMYFUNCTION("""COMPUTED_VALUE"""),"USD")</f>
        <v>USD</v>
      </c>
      <c r="G186" s="8">
        <f ca="1">IFERROR(__xludf.DUMMYFUNCTION("""COMPUTED_VALUE"""),30)</f>
        <v>30</v>
      </c>
      <c r="H186" s="8">
        <f ca="1">IFERROR(__xludf.DUMMYFUNCTION("""COMPUTED_VALUE"""),360)</f>
        <v>360</v>
      </c>
    </row>
    <row r="187" spans="1:8">
      <c r="A187" s="8" t="str">
        <f ca="1">IFERROR(__xludf.DUMMYFUNCTION("""COMPUTED_VALUE"""),"AS-USR-SUPPORT-PV")</f>
        <v>AS-USR-SUPPORT-PV</v>
      </c>
      <c r="B187" s="8" t="str">
        <f ca="1">IFERROR(__xludf.DUMMYFUNCTION("""COMPUTED_VALUE"""),"Prepaid Plan AS-USR-SUPPORT-PV")</f>
        <v>Prepaid Plan AS-USR-SUPPORT-PV</v>
      </c>
      <c r="C187" s="9" t="str">
        <f ca="1">IFERROR(__xludf.DUMMYFUNCTION("""COMPUTED_VALUE"""),"Support User License")</f>
        <v>Support User License</v>
      </c>
      <c r="D187" s="8" t="str">
        <f ca="1">IFERROR(__xludf.DUMMYFUNCTION("""COMPUTED_VALUE"""),"Recurring")</f>
        <v>Recurring</v>
      </c>
      <c r="E18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7" s="8" t="str">
        <f ca="1">IFERROR(__xludf.DUMMYFUNCTION("""COMPUTED_VALUE"""),"USD")</f>
        <v>USD</v>
      </c>
      <c r="G187" s="8">
        <f ca="1">IFERROR(__xludf.DUMMYFUNCTION("""COMPUTED_VALUE"""),25)</f>
        <v>25</v>
      </c>
      <c r="H187" s="8">
        <f ca="1">IFERROR(__xludf.DUMMYFUNCTION("""COMPUTED_VALUE"""),300)</f>
        <v>300</v>
      </c>
    </row>
    <row r="188" spans="1:8">
      <c r="A188" s="8" t="str">
        <f ca="1">IFERROR(__xludf.DUMMYFUNCTION("""COMPUTED_VALUE"""),"AS-USR-SUPPORT-PV")</f>
        <v>AS-USR-SUPPORT-PV</v>
      </c>
      <c r="B188" s="8" t="str">
        <f ca="1">IFERROR(__xludf.DUMMYFUNCTION("""COMPUTED_VALUE"""),"Custom Plan AS-USR-SUPPORT-PV")</f>
        <v>Custom Plan AS-USR-SUPPORT-PV</v>
      </c>
      <c r="C188" s="9" t="str">
        <f ca="1">IFERROR(__xludf.DUMMYFUNCTION("""COMPUTED_VALUE"""),"Support User License")</f>
        <v>Support User License</v>
      </c>
      <c r="D188" s="8" t="str">
        <f ca="1">IFERROR(__xludf.DUMMYFUNCTION("""COMPUTED_VALUE"""),"Recurring")</f>
        <v>Recurring</v>
      </c>
      <c r="E188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8" s="8" t="str">
        <f ca="1">IFERROR(__xludf.DUMMYFUNCTION("""COMPUTED_VALUE"""),"USD")</f>
        <v>USD</v>
      </c>
      <c r="G188" s="8">
        <f ca="1">IFERROR(__xludf.DUMMYFUNCTION("""COMPUTED_VALUE"""),25)</f>
        <v>25</v>
      </c>
      <c r="H188" s="8">
        <f ca="1">IFERROR(__xludf.DUMMYFUNCTION("""COMPUTED_VALUE"""),300)</f>
        <v>300</v>
      </c>
    </row>
    <row r="189" spans="1:8">
      <c r="A189" s="8" t="str">
        <f ca="1">IFERROR(__xludf.DUMMYFUNCTION("""COMPUTED_VALUE"""),"AS-USR-SUPPORT-PV")</f>
        <v>AS-USR-SUPPORT-PV</v>
      </c>
      <c r="B189" s="8" t="str">
        <f ca="1">IFERROR(__xludf.DUMMYFUNCTION("""COMPUTED_VALUE"""),"Annual Plan AS-USR-SUPPORT-PV")</f>
        <v>Annual Plan AS-USR-SUPPORT-PV</v>
      </c>
      <c r="C189" s="9" t="str">
        <f ca="1">IFERROR(__xludf.DUMMYFUNCTION("""COMPUTED_VALUE"""),"Support User License")</f>
        <v>Support User License</v>
      </c>
      <c r="D189" s="8" t="str">
        <f ca="1">IFERROR(__xludf.DUMMYFUNCTION("""COMPUTED_VALUE"""),"Recurring")</f>
        <v>Recurring</v>
      </c>
      <c r="E189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9" s="8" t="str">
        <f ca="1">IFERROR(__xludf.DUMMYFUNCTION("""COMPUTED_VALUE"""),"USD")</f>
        <v>USD</v>
      </c>
      <c r="G189" s="8">
        <f ca="1">IFERROR(__xludf.DUMMYFUNCTION("""COMPUTED_VALUE"""),25)</f>
        <v>25</v>
      </c>
      <c r="H189" s="10">
        <f ca="1">IFERROR(__xludf.DUMMYFUNCTION("""COMPUTED_VALUE"""),300)</f>
        <v>300</v>
      </c>
    </row>
    <row r="190" spans="1:8">
      <c r="A190" s="8" t="str">
        <f ca="1">IFERROR(__xludf.DUMMYFUNCTION("""COMPUTED_VALUE"""),"BZ-SVC-MCS")</f>
        <v>BZ-SVC-MCS</v>
      </c>
      <c r="B190" s="8" t="str">
        <f ca="1">IFERROR(__xludf.DUMMYFUNCTION("""COMPUTED_VALUE"""),"Annual Plan BZ-SVC-MCS")</f>
        <v>Annual Plan BZ-SVC-MCS</v>
      </c>
      <c r="C190" s="9" t="str">
        <f ca="1">IFERROR(__xludf.DUMMYFUNCTION("""COMPUTED_VALUE"""),"Managed Custom Solutions")</f>
        <v>Managed Custom Solutions</v>
      </c>
      <c r="D190" s="8" t="str">
        <f ca="1">IFERROR(__xludf.DUMMYFUNCTION("""COMPUTED_VALUE"""),"Recurring")</f>
        <v>Recurring</v>
      </c>
      <c r="E190" s="9" t="str">
        <f ca="1">IFERROR(__xludf.DUMMYFUNCTION("""COMPUTED_VALUE"""),"Enhanced Services Managed Custom Solutions")</f>
        <v>Enhanced Services Managed Custom Solutions</v>
      </c>
      <c r="F190" s="8" t="str">
        <f ca="1">IFERROR(__xludf.DUMMYFUNCTION("""COMPUTED_VALUE"""),"USD")</f>
        <v>USD</v>
      </c>
      <c r="G190" s="8">
        <f ca="1">IFERROR(__xludf.DUMMYFUNCTION("""COMPUTED_VALUE"""),1000)</f>
        <v>1000</v>
      </c>
      <c r="H190" s="10">
        <f ca="1">IFERROR(__xludf.DUMMYFUNCTION("""COMPUTED_VALUE"""),12000)</f>
        <v>12000</v>
      </c>
    </row>
    <row r="191" spans="1:8">
      <c r="C191" s="9"/>
      <c r="E191" s="9"/>
    </row>
    <row r="192" spans="1:8">
      <c r="C192" s="9"/>
      <c r="E192" s="9"/>
    </row>
    <row r="193" spans="3:5">
      <c r="C193" s="9"/>
      <c r="E193" s="9"/>
    </row>
    <row r="194" spans="3:5">
      <c r="C194" s="9"/>
      <c r="E194" s="9"/>
    </row>
    <row r="195" spans="3:5">
      <c r="C195" s="9"/>
      <c r="E195" s="9"/>
    </row>
    <row r="196" spans="3:5">
      <c r="C196" s="9"/>
      <c r="E196" s="9"/>
    </row>
    <row r="197" spans="3:5">
      <c r="C197" s="9"/>
      <c r="E197" s="9"/>
    </row>
    <row r="198" spans="3:5">
      <c r="C198" s="9"/>
      <c r="E198" s="9"/>
    </row>
    <row r="199" spans="3:5">
      <c r="C199" s="9"/>
      <c r="E199" s="9"/>
    </row>
    <row r="200" spans="3:5">
      <c r="C200" s="9"/>
      <c r="E200" s="9"/>
    </row>
    <row r="201" spans="3:5">
      <c r="C201" s="9"/>
      <c r="E201" s="9"/>
    </row>
    <row r="202" spans="3:5">
      <c r="C202" s="9"/>
      <c r="E202" s="9"/>
    </row>
    <row r="203" spans="3:5">
      <c r="C203" s="9"/>
      <c r="E203" s="9"/>
    </row>
    <row r="204" spans="3:5">
      <c r="C204" s="9"/>
      <c r="E204" s="9"/>
    </row>
    <row r="205" spans="3:5">
      <c r="C205" s="9"/>
      <c r="E205" s="9"/>
    </row>
    <row r="206" spans="3:5">
      <c r="C206" s="9"/>
      <c r="E206" s="9"/>
    </row>
    <row r="207" spans="3:5">
      <c r="C207" s="9"/>
      <c r="E207" s="9"/>
    </row>
    <row r="208" spans="3:5">
      <c r="C208" s="9"/>
      <c r="E208" s="9"/>
    </row>
    <row r="209" spans="3:5">
      <c r="C209" s="9"/>
      <c r="E209" s="9"/>
    </row>
    <row r="210" spans="3:5">
      <c r="C210" s="9"/>
      <c r="E210" s="9"/>
    </row>
    <row r="211" spans="3:5">
      <c r="C211" s="9"/>
      <c r="E211" s="9"/>
    </row>
    <row r="212" spans="3:5">
      <c r="C212" s="9"/>
      <c r="E212" s="9"/>
    </row>
    <row r="213" spans="3:5">
      <c r="C213" s="9"/>
      <c r="E213" s="9"/>
    </row>
    <row r="214" spans="3:5">
      <c r="C214" s="9"/>
      <c r="E214" s="9"/>
    </row>
    <row r="215" spans="3:5">
      <c r="C215" s="9"/>
      <c r="E215" s="9"/>
    </row>
    <row r="216" spans="3:5">
      <c r="C216" s="9"/>
      <c r="E216" s="9"/>
    </row>
    <row r="217" spans="3:5">
      <c r="C217" s="9"/>
      <c r="E217" s="9"/>
    </row>
    <row r="218" spans="3:5">
      <c r="C218" s="9"/>
      <c r="E218" s="9"/>
    </row>
    <row r="219" spans="3:5">
      <c r="C219" s="9"/>
      <c r="E219" s="9"/>
    </row>
    <row r="220" spans="3:5">
      <c r="C220" s="9"/>
      <c r="E220" s="9"/>
    </row>
    <row r="221" spans="3:5">
      <c r="C221" s="9"/>
      <c r="E221" s="9"/>
    </row>
    <row r="222" spans="3:5">
      <c r="C222" s="9"/>
      <c r="E222" s="9"/>
    </row>
    <row r="223" spans="3:5">
      <c r="C223" s="9"/>
      <c r="E223" s="9"/>
    </row>
    <row r="224" spans="3:5">
      <c r="C224" s="9"/>
      <c r="E224" s="9"/>
    </row>
    <row r="225" spans="3:5">
      <c r="C225" s="9"/>
      <c r="E225" s="9"/>
    </row>
    <row r="226" spans="3:5">
      <c r="C226" s="9"/>
      <c r="E226" s="9"/>
    </row>
    <row r="227" spans="3:5">
      <c r="C227" s="9"/>
      <c r="E227" s="9"/>
    </row>
    <row r="228" spans="3:5">
      <c r="C228" s="9"/>
      <c r="E228" s="9"/>
    </row>
    <row r="229" spans="3:5">
      <c r="C229" s="9"/>
      <c r="E229" s="9"/>
    </row>
    <row r="230" spans="3:5">
      <c r="C230" s="9"/>
      <c r="E230" s="9"/>
    </row>
    <row r="231" spans="3:5">
      <c r="C231" s="9"/>
      <c r="E231" s="9"/>
    </row>
    <row r="232" spans="3:5">
      <c r="C232" s="9"/>
      <c r="E232" s="9"/>
    </row>
    <row r="233" spans="3:5">
      <c r="C233" s="9"/>
      <c r="E233" s="9"/>
    </row>
    <row r="234" spans="3:5">
      <c r="C234" s="9"/>
      <c r="E234" s="9"/>
    </row>
    <row r="235" spans="3:5">
      <c r="C235" s="9"/>
      <c r="E235" s="9"/>
    </row>
    <row r="236" spans="3:5">
      <c r="C236" s="9"/>
      <c r="E236" s="9"/>
    </row>
    <row r="237" spans="3:5">
      <c r="C237" s="9"/>
      <c r="E237" s="9"/>
    </row>
    <row r="238" spans="3:5">
      <c r="C238" s="9"/>
      <c r="E238" s="9"/>
    </row>
    <row r="239" spans="3:5">
      <c r="C239" s="9"/>
      <c r="E239" s="9"/>
    </row>
    <row r="240" spans="3:5">
      <c r="C240" s="9"/>
      <c r="E240" s="9"/>
    </row>
    <row r="241" spans="3:5">
      <c r="C241" s="9"/>
      <c r="E241" s="9"/>
    </row>
    <row r="242" spans="3:5">
      <c r="C242" s="9"/>
      <c r="E242" s="9"/>
    </row>
    <row r="243" spans="3:5">
      <c r="C243" s="9"/>
      <c r="E243" s="9"/>
    </row>
    <row r="244" spans="3:5">
      <c r="C244" s="9"/>
      <c r="E244" s="9"/>
    </row>
    <row r="245" spans="3:5">
      <c r="C245" s="9"/>
      <c r="E245" s="9"/>
    </row>
    <row r="246" spans="3:5">
      <c r="C246" s="9"/>
      <c r="E246" s="9"/>
    </row>
    <row r="247" spans="3:5">
      <c r="C247" s="9"/>
      <c r="E247" s="9"/>
    </row>
    <row r="248" spans="3:5">
      <c r="C248" s="9"/>
      <c r="E248" s="9"/>
    </row>
    <row r="249" spans="3:5">
      <c r="C249" s="9"/>
      <c r="E249" s="9"/>
    </row>
    <row r="250" spans="3:5">
      <c r="C250" s="9"/>
      <c r="E250" s="9"/>
    </row>
    <row r="251" spans="3:5">
      <c r="C251" s="9"/>
      <c r="E251" s="9"/>
    </row>
    <row r="252" spans="3:5">
      <c r="C252" s="9"/>
      <c r="E252" s="9"/>
    </row>
    <row r="253" spans="3:5">
      <c r="C253" s="9"/>
      <c r="E253" s="9"/>
    </row>
    <row r="254" spans="3:5">
      <c r="C254" s="9"/>
      <c r="E254" s="9"/>
    </row>
    <row r="255" spans="3:5">
      <c r="C255" s="9"/>
      <c r="E255" s="9"/>
    </row>
    <row r="256" spans="3:5">
      <c r="C256" s="9"/>
      <c r="E256" s="9"/>
    </row>
    <row r="257" spans="3:5">
      <c r="C257" s="9"/>
      <c r="E257" s="9"/>
    </row>
    <row r="258" spans="3:5">
      <c r="C258" s="9"/>
      <c r="E258" s="9"/>
    </row>
    <row r="259" spans="3:5">
      <c r="C259" s="9"/>
      <c r="E259" s="9"/>
    </row>
    <row r="260" spans="3:5">
      <c r="C260" s="9"/>
      <c r="E260" s="9"/>
    </row>
    <row r="261" spans="3:5">
      <c r="C261" s="9"/>
      <c r="E261" s="9"/>
    </row>
    <row r="262" spans="3:5">
      <c r="C262" s="9"/>
      <c r="E262" s="9"/>
    </row>
    <row r="263" spans="3:5">
      <c r="C263" s="9"/>
      <c r="E263" s="9"/>
    </row>
    <row r="264" spans="3:5">
      <c r="C264" s="9"/>
      <c r="E264" s="9"/>
    </row>
    <row r="265" spans="3:5">
      <c r="C265" s="9"/>
      <c r="E265" s="9"/>
    </row>
    <row r="266" spans="3:5">
      <c r="C266" s="9"/>
      <c r="E266" s="9"/>
    </row>
    <row r="267" spans="3:5">
      <c r="C267" s="9"/>
      <c r="E267" s="9"/>
    </row>
    <row r="268" spans="3:5">
      <c r="C268" s="9"/>
      <c r="E268" s="9"/>
    </row>
    <row r="269" spans="3:5">
      <c r="C269" s="9"/>
      <c r="E269" s="9"/>
    </row>
    <row r="270" spans="3:5">
      <c r="C270" s="9"/>
      <c r="E270" s="9"/>
    </row>
    <row r="271" spans="3:5">
      <c r="C271" s="9"/>
      <c r="E271" s="9"/>
    </row>
    <row r="272" spans="3:5">
      <c r="C272" s="9"/>
      <c r="E272" s="9"/>
    </row>
    <row r="273" spans="3:5">
      <c r="C273" s="9"/>
      <c r="E273" s="9"/>
    </row>
    <row r="274" spans="3:5">
      <c r="C274" s="9"/>
      <c r="E274" s="9"/>
    </row>
    <row r="275" spans="3:5">
      <c r="C275" s="9"/>
      <c r="E275" s="9"/>
    </row>
    <row r="276" spans="3:5">
      <c r="C276" s="9"/>
      <c r="E276" s="9"/>
    </row>
    <row r="277" spans="3:5">
      <c r="C277" s="9"/>
      <c r="E277" s="9"/>
    </row>
    <row r="278" spans="3:5">
      <c r="C278" s="9"/>
      <c r="E278" s="9"/>
    </row>
    <row r="279" spans="3:5">
      <c r="C279" s="9"/>
      <c r="E279" s="9"/>
    </row>
    <row r="280" spans="3:5">
      <c r="C280" s="9"/>
      <c r="E280" s="9"/>
    </row>
    <row r="281" spans="3:5">
      <c r="C281" s="9"/>
      <c r="E281" s="9"/>
    </row>
    <row r="282" spans="3:5">
      <c r="C282" s="9"/>
      <c r="E282" s="9"/>
    </row>
    <row r="283" spans="3:5">
      <c r="C283" s="9"/>
      <c r="E283" s="9"/>
    </row>
    <row r="284" spans="3:5">
      <c r="C284" s="9"/>
      <c r="E284" s="9"/>
    </row>
    <row r="285" spans="3:5">
      <c r="C285" s="9"/>
      <c r="E285" s="9"/>
    </row>
    <row r="286" spans="3:5">
      <c r="C286" s="9"/>
      <c r="E286" s="9"/>
    </row>
    <row r="287" spans="3:5">
      <c r="C287" s="9"/>
      <c r="E287" s="9"/>
    </row>
    <row r="288" spans="3:5">
      <c r="C288" s="9"/>
      <c r="E288" s="9"/>
    </row>
    <row r="289" spans="3:5">
      <c r="C289" s="9"/>
      <c r="E289" s="9"/>
    </row>
    <row r="290" spans="3:5">
      <c r="C290" s="9"/>
      <c r="E290" s="9"/>
    </row>
    <row r="291" spans="3:5">
      <c r="C291" s="9"/>
      <c r="E291" s="9"/>
    </row>
    <row r="292" spans="3:5">
      <c r="C292" s="9"/>
      <c r="E292" s="9"/>
    </row>
    <row r="293" spans="3:5">
      <c r="C293" s="9"/>
      <c r="E293" s="9"/>
    </row>
    <row r="294" spans="3:5">
      <c r="C294" s="9"/>
      <c r="E294" s="9"/>
    </row>
    <row r="295" spans="3:5">
      <c r="C295" s="9"/>
      <c r="E295" s="9"/>
    </row>
    <row r="296" spans="3:5">
      <c r="C296" s="9"/>
      <c r="E296" s="9"/>
    </row>
    <row r="297" spans="3:5">
      <c r="C297" s="9"/>
      <c r="E297" s="9"/>
    </row>
    <row r="298" spans="3:5">
      <c r="C298" s="9"/>
      <c r="E298" s="9"/>
    </row>
    <row r="299" spans="3:5">
      <c r="C299" s="9"/>
      <c r="E299" s="9"/>
    </row>
    <row r="300" spans="3:5">
      <c r="C300" s="9"/>
      <c r="E300" s="9"/>
    </row>
    <row r="301" spans="3:5">
      <c r="C301" s="9"/>
      <c r="E301" s="9"/>
    </row>
    <row r="302" spans="3:5">
      <c r="C302" s="9"/>
      <c r="E302" s="9"/>
    </row>
    <row r="303" spans="3:5">
      <c r="C303" s="9"/>
      <c r="E303" s="9"/>
    </row>
    <row r="304" spans="3:5">
      <c r="C304" s="9"/>
      <c r="E304" s="9"/>
    </row>
    <row r="305" spans="3:5">
      <c r="C305" s="9"/>
      <c r="E305" s="9"/>
    </row>
    <row r="306" spans="3:5">
      <c r="C306" s="9"/>
      <c r="E306" s="9"/>
    </row>
    <row r="307" spans="3:5">
      <c r="C307" s="9"/>
      <c r="E307" s="9"/>
    </row>
    <row r="308" spans="3:5">
      <c r="C308" s="9"/>
      <c r="E308" s="9"/>
    </row>
    <row r="309" spans="3:5">
      <c r="C309" s="9"/>
      <c r="E309" s="9"/>
    </row>
    <row r="310" spans="3:5">
      <c r="C310" s="9"/>
      <c r="E310" s="9"/>
    </row>
    <row r="311" spans="3:5">
      <c r="C311" s="9"/>
      <c r="E311" s="9"/>
    </row>
    <row r="312" spans="3:5">
      <c r="C312" s="9"/>
      <c r="E312" s="9"/>
    </row>
    <row r="313" spans="3:5">
      <c r="C313" s="9"/>
      <c r="E313" s="9"/>
    </row>
    <row r="314" spans="3:5">
      <c r="C314" s="9"/>
      <c r="E314" s="9"/>
    </row>
    <row r="315" spans="3:5">
      <c r="C315" s="9"/>
      <c r="E315" s="9"/>
    </row>
    <row r="316" spans="3:5">
      <c r="C316" s="9"/>
      <c r="E316" s="9"/>
    </row>
    <row r="317" spans="3:5">
      <c r="C317" s="9"/>
      <c r="E317" s="9"/>
    </row>
    <row r="318" spans="3:5">
      <c r="C318" s="9"/>
      <c r="E318" s="9"/>
    </row>
    <row r="319" spans="3:5">
      <c r="C319" s="9"/>
      <c r="E319" s="9"/>
    </row>
    <row r="320" spans="3:5">
      <c r="C320" s="9"/>
      <c r="E320" s="9"/>
    </row>
    <row r="321" spans="3:5">
      <c r="C321" s="9"/>
      <c r="E321" s="9"/>
    </row>
    <row r="322" spans="3:5">
      <c r="C322" s="9"/>
      <c r="E322" s="9"/>
    </row>
    <row r="323" spans="3:5">
      <c r="C323" s="9"/>
      <c r="E323" s="9"/>
    </row>
    <row r="324" spans="3:5">
      <c r="C324" s="9"/>
      <c r="E324" s="9"/>
    </row>
    <row r="325" spans="3:5">
      <c r="C325" s="9"/>
      <c r="E325" s="9"/>
    </row>
    <row r="326" spans="3:5">
      <c r="C326" s="9"/>
      <c r="E326" s="9"/>
    </row>
    <row r="327" spans="3:5">
      <c r="C327" s="9"/>
      <c r="E327" s="9"/>
    </row>
    <row r="328" spans="3:5">
      <c r="C328" s="9"/>
      <c r="E328" s="9"/>
    </row>
    <row r="329" spans="3:5">
      <c r="C329" s="9"/>
      <c r="E329" s="9"/>
    </row>
    <row r="330" spans="3:5">
      <c r="C330" s="9"/>
      <c r="E330" s="9"/>
    </row>
    <row r="331" spans="3:5">
      <c r="C331" s="9"/>
      <c r="E331" s="9"/>
    </row>
    <row r="332" spans="3:5">
      <c r="C332" s="9"/>
      <c r="E332" s="9"/>
    </row>
    <row r="333" spans="3:5">
      <c r="C333" s="9"/>
      <c r="E333" s="9"/>
    </row>
    <row r="334" spans="3:5">
      <c r="C334" s="9"/>
      <c r="E334" s="9"/>
    </row>
    <row r="335" spans="3:5">
      <c r="C335" s="9"/>
      <c r="E335" s="9"/>
    </row>
    <row r="336" spans="3:5">
      <c r="C336" s="9"/>
      <c r="E336" s="9"/>
    </row>
    <row r="337" spans="3:5">
      <c r="C337" s="9"/>
      <c r="E337" s="9"/>
    </row>
    <row r="338" spans="3:5">
      <c r="C338" s="9"/>
      <c r="E338" s="9"/>
    </row>
    <row r="339" spans="3:5">
      <c r="C339" s="9"/>
      <c r="E339" s="9"/>
    </row>
    <row r="340" spans="3:5">
      <c r="C340" s="9"/>
      <c r="E340" s="9"/>
    </row>
    <row r="341" spans="3:5">
      <c r="C341" s="9"/>
      <c r="E341" s="9"/>
    </row>
    <row r="342" spans="3:5">
      <c r="C342" s="9"/>
      <c r="E342" s="9"/>
    </row>
    <row r="343" spans="3:5">
      <c r="C343" s="9"/>
      <c r="E343" s="9"/>
    </row>
    <row r="344" spans="3:5">
      <c r="C344" s="9"/>
      <c r="E344" s="9"/>
    </row>
    <row r="345" spans="3:5">
      <c r="C345" s="9"/>
      <c r="E345" s="9"/>
    </row>
    <row r="346" spans="3:5">
      <c r="C346" s="9"/>
      <c r="E346" s="9"/>
    </row>
    <row r="347" spans="3:5">
      <c r="C347" s="9"/>
      <c r="E347" s="9"/>
    </row>
    <row r="348" spans="3:5">
      <c r="C348" s="9"/>
      <c r="E348" s="9"/>
    </row>
    <row r="349" spans="3:5">
      <c r="C349" s="9"/>
      <c r="E349" s="9"/>
    </row>
    <row r="350" spans="3:5">
      <c r="C350" s="9"/>
      <c r="E350" s="9"/>
    </row>
    <row r="351" spans="3:5">
      <c r="C351" s="9"/>
      <c r="E351" s="9"/>
    </row>
    <row r="352" spans="3:5">
      <c r="C352" s="9"/>
      <c r="E352" s="9"/>
    </row>
    <row r="353" spans="3:5">
      <c r="C353" s="9"/>
      <c r="E353" s="9"/>
    </row>
    <row r="354" spans="3:5">
      <c r="C354" s="9"/>
      <c r="E354" s="9"/>
    </row>
    <row r="355" spans="3:5">
      <c r="C355" s="9"/>
      <c r="E355" s="9"/>
    </row>
    <row r="356" spans="3:5">
      <c r="C356" s="9"/>
      <c r="E356" s="9"/>
    </row>
    <row r="357" spans="3:5">
      <c r="C357" s="9"/>
      <c r="E357" s="9"/>
    </row>
    <row r="358" spans="3:5">
      <c r="C358" s="9"/>
      <c r="E358" s="9"/>
    </row>
    <row r="359" spans="3:5">
      <c r="C359" s="9"/>
      <c r="E359" s="9"/>
    </row>
    <row r="360" spans="3:5">
      <c r="C360" s="9"/>
      <c r="E360" s="9"/>
    </row>
    <row r="361" spans="3:5">
      <c r="C361" s="9"/>
      <c r="E361" s="9"/>
    </row>
    <row r="362" spans="3:5">
      <c r="C362" s="9"/>
      <c r="E362" s="9"/>
    </row>
    <row r="363" spans="3:5">
      <c r="C363" s="9"/>
      <c r="E363" s="9"/>
    </row>
    <row r="364" spans="3:5">
      <c r="C364" s="9"/>
      <c r="E364" s="9"/>
    </row>
    <row r="365" spans="3:5">
      <c r="C365" s="9"/>
      <c r="E365" s="9"/>
    </row>
    <row r="366" spans="3:5">
      <c r="C366" s="9"/>
      <c r="E366" s="9"/>
    </row>
    <row r="367" spans="3:5">
      <c r="C367" s="9"/>
      <c r="E367" s="9"/>
    </row>
    <row r="368" spans="3:5">
      <c r="C368" s="9"/>
      <c r="E368" s="9"/>
    </row>
    <row r="369" spans="3:5">
      <c r="C369" s="9"/>
      <c r="E369" s="9"/>
    </row>
    <row r="370" spans="3:5">
      <c r="C370" s="9"/>
      <c r="E370" s="9"/>
    </row>
    <row r="371" spans="3:5">
      <c r="C371" s="9"/>
      <c r="E371" s="9"/>
    </row>
    <row r="372" spans="3:5">
      <c r="C372" s="9"/>
      <c r="E372" s="9"/>
    </row>
    <row r="373" spans="3:5">
      <c r="C373" s="9"/>
      <c r="E373" s="9"/>
    </row>
    <row r="374" spans="3:5">
      <c r="C374" s="9"/>
      <c r="E374" s="9"/>
    </row>
    <row r="375" spans="3:5">
      <c r="C375" s="9"/>
      <c r="E375" s="9"/>
    </row>
    <row r="376" spans="3:5">
      <c r="C376" s="9"/>
      <c r="E376" s="9"/>
    </row>
    <row r="377" spans="3:5">
      <c r="C377" s="9"/>
      <c r="E377" s="9"/>
    </row>
    <row r="378" spans="3:5">
      <c r="C378" s="9"/>
      <c r="E378" s="9"/>
    </row>
    <row r="379" spans="3:5">
      <c r="C379" s="9"/>
      <c r="E379" s="9"/>
    </row>
    <row r="380" spans="3:5">
      <c r="C380" s="9"/>
      <c r="E380" s="9"/>
    </row>
    <row r="381" spans="3:5">
      <c r="C381" s="9"/>
      <c r="E381" s="9"/>
    </row>
    <row r="382" spans="3:5">
      <c r="C382" s="9"/>
      <c r="E382" s="9"/>
    </row>
    <row r="383" spans="3:5">
      <c r="C383" s="9"/>
      <c r="E383" s="9"/>
    </row>
    <row r="384" spans="3:5">
      <c r="C384" s="9"/>
      <c r="E384" s="9"/>
    </row>
    <row r="385" spans="3:5">
      <c r="C385" s="9"/>
      <c r="E385" s="9"/>
    </row>
    <row r="386" spans="3:5">
      <c r="C386" s="9"/>
      <c r="E386" s="9"/>
    </row>
    <row r="387" spans="3:5">
      <c r="C387" s="9"/>
      <c r="E387" s="9"/>
    </row>
    <row r="388" spans="3:5">
      <c r="C388" s="9"/>
      <c r="E388" s="9"/>
    </row>
    <row r="389" spans="3:5">
      <c r="C389" s="9"/>
      <c r="E389" s="9"/>
    </row>
    <row r="390" spans="3:5">
      <c r="C390" s="9"/>
      <c r="E390" s="9"/>
    </row>
    <row r="391" spans="3:5">
      <c r="C391" s="9"/>
      <c r="E391" s="9"/>
    </row>
    <row r="392" spans="3:5">
      <c r="C392" s="9"/>
      <c r="E392" s="9"/>
    </row>
    <row r="393" spans="3:5">
      <c r="C393" s="9"/>
      <c r="E393" s="9"/>
    </row>
    <row r="394" spans="3:5">
      <c r="C394" s="9"/>
      <c r="E394" s="9"/>
    </row>
    <row r="395" spans="3:5">
      <c r="C395" s="9"/>
      <c r="E395" s="9"/>
    </row>
    <row r="396" spans="3:5">
      <c r="C396" s="9"/>
      <c r="E396" s="9"/>
    </row>
    <row r="397" spans="3:5">
      <c r="C397" s="9"/>
      <c r="E397" s="9"/>
    </row>
    <row r="398" spans="3:5">
      <c r="C398" s="9"/>
      <c r="E398" s="9"/>
    </row>
    <row r="399" spans="3:5">
      <c r="C399" s="9"/>
      <c r="E399" s="9"/>
    </row>
    <row r="400" spans="3:5">
      <c r="C400" s="9"/>
      <c r="E400" s="9"/>
    </row>
    <row r="401" spans="3:5">
      <c r="C401" s="9"/>
      <c r="E401" s="9"/>
    </row>
    <row r="402" spans="3:5">
      <c r="C402" s="9"/>
      <c r="E402" s="9"/>
    </row>
    <row r="403" spans="3:5">
      <c r="C403" s="9"/>
      <c r="E403" s="9"/>
    </row>
    <row r="404" spans="3:5">
      <c r="C404" s="9"/>
      <c r="E404" s="9"/>
    </row>
    <row r="405" spans="3:5">
      <c r="C405" s="9"/>
      <c r="E405" s="9"/>
    </row>
    <row r="406" spans="3:5">
      <c r="C406" s="9"/>
      <c r="E406" s="9"/>
    </row>
    <row r="407" spans="3:5">
      <c r="C407" s="9"/>
      <c r="E407" s="9"/>
    </row>
    <row r="408" spans="3:5">
      <c r="C408" s="9"/>
      <c r="E408" s="9"/>
    </row>
    <row r="409" spans="3:5">
      <c r="C409" s="9"/>
      <c r="E409" s="9"/>
    </row>
    <row r="410" spans="3:5">
      <c r="C410" s="9"/>
      <c r="E410" s="9"/>
    </row>
    <row r="411" spans="3:5">
      <c r="C411" s="9"/>
      <c r="E411" s="9"/>
    </row>
    <row r="412" spans="3:5">
      <c r="C412" s="9"/>
      <c r="E412" s="9"/>
    </row>
    <row r="413" spans="3:5">
      <c r="C413" s="9"/>
      <c r="E413" s="9"/>
    </row>
    <row r="414" spans="3:5">
      <c r="C414" s="9"/>
      <c r="E414" s="9"/>
    </row>
    <row r="415" spans="3:5">
      <c r="C415" s="9"/>
      <c r="E415" s="9"/>
    </row>
    <row r="416" spans="3:5">
      <c r="C416" s="9"/>
      <c r="E416" s="9"/>
    </row>
    <row r="417" spans="3:5">
      <c r="C417" s="9"/>
      <c r="E417" s="9"/>
    </row>
    <row r="418" spans="3:5">
      <c r="C418" s="9"/>
      <c r="E418" s="9"/>
    </row>
    <row r="419" spans="3:5">
      <c r="C419" s="9"/>
      <c r="E419" s="9"/>
    </row>
    <row r="420" spans="3:5">
      <c r="C420" s="9"/>
      <c r="E420" s="9"/>
    </row>
    <row r="421" spans="3:5">
      <c r="C421" s="9"/>
      <c r="E421" s="9"/>
    </row>
    <row r="422" spans="3:5">
      <c r="C422" s="9"/>
      <c r="E422" s="9"/>
    </row>
    <row r="423" spans="3:5">
      <c r="C423" s="9"/>
      <c r="E423" s="9"/>
    </row>
    <row r="424" spans="3:5">
      <c r="C424" s="9"/>
      <c r="E424" s="9"/>
    </row>
    <row r="425" spans="3:5">
      <c r="C425" s="9"/>
      <c r="E425" s="9"/>
    </row>
    <row r="426" spans="3:5">
      <c r="C426" s="9"/>
      <c r="E426" s="9"/>
    </row>
    <row r="427" spans="3:5">
      <c r="C427" s="9"/>
      <c r="E427" s="9"/>
    </row>
    <row r="428" spans="3:5">
      <c r="C428" s="9"/>
      <c r="E428" s="9"/>
    </row>
    <row r="429" spans="3:5">
      <c r="C429" s="9"/>
      <c r="E429" s="9"/>
    </row>
    <row r="430" spans="3:5">
      <c r="C430" s="9"/>
      <c r="E430" s="9"/>
    </row>
    <row r="431" spans="3:5">
      <c r="C431" s="9"/>
      <c r="E431" s="9"/>
    </row>
    <row r="432" spans="3:5">
      <c r="C432" s="9"/>
      <c r="E432" s="9"/>
    </row>
    <row r="433" spans="3:5">
      <c r="C433" s="9"/>
      <c r="E433" s="9"/>
    </row>
    <row r="434" spans="3:5">
      <c r="C434" s="9"/>
      <c r="E434" s="9"/>
    </row>
    <row r="435" spans="3:5">
      <c r="C435" s="9"/>
      <c r="E435" s="9"/>
    </row>
    <row r="436" spans="3:5">
      <c r="C436" s="9"/>
      <c r="E436" s="9"/>
    </row>
    <row r="437" spans="3:5">
      <c r="C437" s="9"/>
      <c r="E437" s="9"/>
    </row>
    <row r="438" spans="3:5">
      <c r="C438" s="9"/>
      <c r="E438" s="9"/>
    </row>
    <row r="439" spans="3:5">
      <c r="C439" s="9"/>
      <c r="E439" s="9"/>
    </row>
    <row r="440" spans="3:5">
      <c r="C440" s="9"/>
      <c r="E440" s="9"/>
    </row>
    <row r="441" spans="3:5">
      <c r="C441" s="9"/>
      <c r="E441" s="9"/>
    </row>
    <row r="442" spans="3:5">
      <c r="C442" s="9"/>
      <c r="E442" s="9"/>
    </row>
    <row r="443" spans="3:5">
      <c r="C443" s="9"/>
      <c r="E443" s="9"/>
    </row>
    <row r="444" spans="3:5">
      <c r="C444" s="9"/>
      <c r="E444" s="9"/>
    </row>
    <row r="445" spans="3:5">
      <c r="C445" s="9"/>
      <c r="E445" s="9"/>
    </row>
    <row r="446" spans="3:5">
      <c r="C446" s="9"/>
      <c r="E446" s="9"/>
    </row>
    <row r="447" spans="3:5">
      <c r="C447" s="9"/>
      <c r="E447" s="9"/>
    </row>
    <row r="448" spans="3:5">
      <c r="C448" s="9"/>
      <c r="E448" s="9"/>
    </row>
    <row r="449" spans="3:5">
      <c r="C449" s="9"/>
      <c r="E449" s="9"/>
    </row>
    <row r="450" spans="3:5">
      <c r="C450" s="9"/>
      <c r="E450" s="9"/>
    </row>
    <row r="451" spans="3:5">
      <c r="C451" s="9"/>
      <c r="E451" s="9"/>
    </row>
    <row r="452" spans="3:5">
      <c r="C452" s="9"/>
      <c r="E452" s="9"/>
    </row>
    <row r="453" spans="3:5">
      <c r="C453" s="9"/>
      <c r="E453" s="9"/>
    </row>
    <row r="454" spans="3:5">
      <c r="C454" s="9"/>
      <c r="E454" s="9"/>
    </row>
    <row r="455" spans="3:5">
      <c r="C455" s="9"/>
      <c r="E455" s="9"/>
    </row>
    <row r="456" spans="3:5">
      <c r="C456" s="9"/>
      <c r="E456" s="9"/>
    </row>
    <row r="457" spans="3:5">
      <c r="C457" s="9"/>
      <c r="E457" s="9"/>
    </row>
    <row r="458" spans="3:5">
      <c r="C458" s="9"/>
      <c r="E458" s="9"/>
    </row>
    <row r="459" spans="3:5">
      <c r="C459" s="9"/>
      <c r="E459" s="9"/>
    </row>
    <row r="460" spans="3:5">
      <c r="C460" s="9"/>
      <c r="E460" s="9"/>
    </row>
    <row r="461" spans="3:5">
      <c r="C461" s="9"/>
      <c r="E461" s="9"/>
    </row>
    <row r="462" spans="3:5">
      <c r="C462" s="9"/>
      <c r="E462" s="9"/>
    </row>
    <row r="463" spans="3:5">
      <c r="C463" s="9"/>
      <c r="E463" s="9"/>
    </row>
    <row r="464" spans="3:5">
      <c r="C464" s="9"/>
      <c r="E464" s="9"/>
    </row>
    <row r="465" spans="3:5">
      <c r="C465" s="9"/>
      <c r="E465" s="9"/>
    </row>
    <row r="466" spans="3:5">
      <c r="C466" s="9"/>
      <c r="E466" s="9"/>
    </row>
    <row r="467" spans="3:5">
      <c r="C467" s="9"/>
      <c r="E467" s="9"/>
    </row>
    <row r="468" spans="3:5">
      <c r="C468" s="9"/>
      <c r="E468" s="9"/>
    </row>
    <row r="469" spans="3:5">
      <c r="C469" s="9"/>
      <c r="E469" s="9"/>
    </row>
    <row r="470" spans="3:5">
      <c r="C470" s="9"/>
      <c r="E470" s="9"/>
    </row>
    <row r="471" spans="3:5">
      <c r="C471" s="9"/>
      <c r="E471" s="9"/>
    </row>
    <row r="472" spans="3:5">
      <c r="C472" s="9"/>
      <c r="E472" s="9"/>
    </row>
    <row r="473" spans="3:5">
      <c r="C473" s="9"/>
      <c r="E473" s="9"/>
    </row>
    <row r="474" spans="3:5">
      <c r="C474" s="9"/>
      <c r="E474" s="9"/>
    </row>
    <row r="475" spans="3:5">
      <c r="C475" s="9"/>
      <c r="E475" s="9"/>
    </row>
    <row r="476" spans="3:5">
      <c r="C476" s="9"/>
      <c r="E476" s="9"/>
    </row>
    <row r="477" spans="3:5">
      <c r="C477" s="9"/>
      <c r="E477" s="9"/>
    </row>
    <row r="478" spans="3:5">
      <c r="C478" s="9"/>
      <c r="E478" s="9"/>
    </row>
    <row r="479" spans="3:5">
      <c r="C479" s="9"/>
      <c r="E479" s="9"/>
    </row>
    <row r="480" spans="3:5">
      <c r="C480" s="9"/>
      <c r="E480" s="9"/>
    </row>
    <row r="481" spans="3:5">
      <c r="C481" s="9"/>
      <c r="E481" s="9"/>
    </row>
    <row r="482" spans="3:5">
      <c r="C482" s="9"/>
      <c r="E482" s="9"/>
    </row>
    <row r="483" spans="3:5">
      <c r="C483" s="9"/>
      <c r="E483" s="9"/>
    </row>
    <row r="484" spans="3:5">
      <c r="C484" s="9"/>
      <c r="E484" s="9"/>
    </row>
    <row r="485" spans="3:5">
      <c r="C485" s="9"/>
      <c r="E485" s="9"/>
    </row>
    <row r="486" spans="3:5">
      <c r="C486" s="9"/>
      <c r="E486" s="9"/>
    </row>
    <row r="487" spans="3:5">
      <c r="C487" s="9"/>
      <c r="E487" s="9"/>
    </row>
    <row r="488" spans="3:5">
      <c r="C488" s="9"/>
      <c r="E488" s="9"/>
    </row>
    <row r="489" spans="3:5">
      <c r="C489" s="9"/>
      <c r="E489" s="9"/>
    </row>
    <row r="490" spans="3:5">
      <c r="C490" s="9"/>
      <c r="E490" s="9"/>
    </row>
    <row r="491" spans="3:5">
      <c r="C491" s="9"/>
      <c r="E491" s="9"/>
    </row>
    <row r="492" spans="3:5">
      <c r="C492" s="9"/>
      <c r="E492" s="9"/>
    </row>
    <row r="493" spans="3:5">
      <c r="C493" s="9"/>
      <c r="E493" s="9"/>
    </row>
    <row r="494" spans="3:5">
      <c r="C494" s="9"/>
      <c r="E494" s="9"/>
    </row>
    <row r="495" spans="3:5">
      <c r="C495" s="9"/>
      <c r="E495" s="9"/>
    </row>
    <row r="496" spans="3:5">
      <c r="C496" s="9"/>
      <c r="E496" s="9"/>
    </row>
    <row r="497" spans="3:5">
      <c r="C497" s="9"/>
      <c r="E497" s="9"/>
    </row>
    <row r="498" spans="3:5">
      <c r="C498" s="9"/>
      <c r="E498" s="9"/>
    </row>
    <row r="499" spans="3:5">
      <c r="C499" s="9"/>
      <c r="E499" s="9"/>
    </row>
    <row r="500" spans="3:5">
      <c r="C500" s="9"/>
      <c r="E500" s="9"/>
    </row>
    <row r="501" spans="3:5">
      <c r="C501" s="9"/>
      <c r="E501" s="9"/>
    </row>
    <row r="502" spans="3:5">
      <c r="C502" s="9"/>
      <c r="E502" s="9"/>
    </row>
    <row r="503" spans="3:5">
      <c r="C503" s="9"/>
      <c r="E503" s="9"/>
    </row>
    <row r="504" spans="3:5">
      <c r="C504" s="9"/>
      <c r="E504" s="9"/>
    </row>
    <row r="505" spans="3:5">
      <c r="C505" s="9"/>
      <c r="E505" s="9"/>
    </row>
    <row r="506" spans="3:5">
      <c r="C506" s="9"/>
      <c r="E506" s="9"/>
    </row>
    <row r="507" spans="3:5">
      <c r="C507" s="9"/>
      <c r="E507" s="9"/>
    </row>
    <row r="508" spans="3:5">
      <c r="C508" s="9"/>
      <c r="E508" s="9"/>
    </row>
    <row r="509" spans="3:5">
      <c r="C509" s="9"/>
      <c r="E509" s="9"/>
    </row>
    <row r="510" spans="3:5">
      <c r="C510" s="9"/>
      <c r="E510" s="9"/>
    </row>
    <row r="511" spans="3:5">
      <c r="C511" s="9"/>
      <c r="E511" s="9"/>
    </row>
    <row r="512" spans="3:5">
      <c r="C512" s="9"/>
      <c r="E512" s="9"/>
    </row>
    <row r="513" spans="3:5">
      <c r="C513" s="9"/>
      <c r="E513" s="9"/>
    </row>
    <row r="514" spans="3:5">
      <c r="C514" s="9"/>
      <c r="E514" s="9"/>
    </row>
    <row r="515" spans="3:5">
      <c r="C515" s="9"/>
      <c r="E515" s="9"/>
    </row>
    <row r="516" spans="3:5">
      <c r="C516" s="9"/>
      <c r="E516" s="9"/>
    </row>
    <row r="517" spans="3:5">
      <c r="C517" s="9"/>
      <c r="E517" s="9"/>
    </row>
    <row r="518" spans="3:5">
      <c r="C518" s="9"/>
      <c r="E518" s="9"/>
    </row>
    <row r="519" spans="3:5">
      <c r="C519" s="9"/>
      <c r="E519" s="9"/>
    </row>
    <row r="520" spans="3:5">
      <c r="C520" s="9"/>
      <c r="E520" s="9"/>
    </row>
    <row r="521" spans="3:5">
      <c r="C521" s="9"/>
      <c r="E521" s="9"/>
    </row>
    <row r="522" spans="3:5">
      <c r="C522" s="9"/>
      <c r="E522" s="9"/>
    </row>
    <row r="523" spans="3:5">
      <c r="C523" s="9"/>
      <c r="E523" s="9"/>
    </row>
    <row r="524" spans="3:5">
      <c r="C524" s="9"/>
      <c r="E524" s="9"/>
    </row>
    <row r="525" spans="3:5">
      <c r="C525" s="9"/>
      <c r="E525" s="9"/>
    </row>
    <row r="526" spans="3:5">
      <c r="C526" s="9"/>
      <c r="E526" s="9"/>
    </row>
    <row r="527" spans="3:5">
      <c r="C527" s="9"/>
      <c r="E527" s="9"/>
    </row>
    <row r="528" spans="3:5">
      <c r="C528" s="9"/>
      <c r="E528" s="9"/>
    </row>
    <row r="529" spans="3:5">
      <c r="C529" s="9"/>
      <c r="E529" s="9"/>
    </row>
    <row r="530" spans="3:5">
      <c r="C530" s="9"/>
      <c r="E530" s="9"/>
    </row>
    <row r="531" spans="3:5">
      <c r="C531" s="9"/>
      <c r="E531" s="9"/>
    </row>
    <row r="532" spans="3:5">
      <c r="C532" s="9"/>
      <c r="E532" s="9"/>
    </row>
    <row r="533" spans="3:5">
      <c r="C533" s="9"/>
      <c r="E533" s="9"/>
    </row>
    <row r="534" spans="3:5">
      <c r="C534" s="9"/>
      <c r="E534" s="9"/>
    </row>
    <row r="535" spans="3:5">
      <c r="C535" s="9"/>
      <c r="E535" s="9"/>
    </row>
    <row r="536" spans="3:5">
      <c r="C536" s="9"/>
      <c r="E536" s="9"/>
    </row>
    <row r="537" spans="3:5">
      <c r="C537" s="9"/>
      <c r="E537" s="9"/>
    </row>
    <row r="538" spans="3:5">
      <c r="C538" s="9"/>
      <c r="E538" s="9"/>
    </row>
    <row r="539" spans="3:5">
      <c r="C539" s="9"/>
      <c r="E539" s="9"/>
    </row>
    <row r="540" spans="3:5">
      <c r="C540" s="9"/>
      <c r="E540" s="9"/>
    </row>
    <row r="541" spans="3:5">
      <c r="C541" s="9"/>
      <c r="E541" s="9"/>
    </row>
    <row r="542" spans="3:5">
      <c r="C542" s="9"/>
      <c r="E542" s="9"/>
    </row>
    <row r="543" spans="3:5">
      <c r="C543" s="9"/>
      <c r="E543" s="9"/>
    </row>
    <row r="544" spans="3:5">
      <c r="C544" s="9"/>
      <c r="E544" s="9"/>
    </row>
    <row r="545" spans="3:5">
      <c r="C545" s="9"/>
      <c r="E545" s="9"/>
    </row>
    <row r="546" spans="3:5">
      <c r="C546" s="9"/>
      <c r="E546" s="9"/>
    </row>
    <row r="547" spans="3:5">
      <c r="C547" s="9"/>
      <c r="E547" s="9"/>
    </row>
    <row r="548" spans="3:5">
      <c r="C548" s="9"/>
      <c r="E548" s="9"/>
    </row>
    <row r="549" spans="3:5">
      <c r="C549" s="9"/>
      <c r="E549" s="9"/>
    </row>
    <row r="550" spans="3:5">
      <c r="C550" s="9"/>
      <c r="E550" s="9"/>
    </row>
    <row r="551" spans="3:5">
      <c r="C551" s="9"/>
      <c r="E551" s="9"/>
    </row>
    <row r="552" spans="3:5">
      <c r="C552" s="9"/>
      <c r="E552" s="9"/>
    </row>
    <row r="553" spans="3:5">
      <c r="C553" s="9"/>
      <c r="E553" s="9"/>
    </row>
    <row r="554" spans="3:5">
      <c r="C554" s="9"/>
      <c r="E554" s="9"/>
    </row>
    <row r="555" spans="3:5">
      <c r="C555" s="9"/>
      <c r="E555" s="9"/>
    </row>
    <row r="556" spans="3:5">
      <c r="C556" s="9"/>
      <c r="E556" s="9"/>
    </row>
    <row r="557" spans="3:5">
      <c r="C557" s="9"/>
      <c r="E557" s="9"/>
    </row>
    <row r="558" spans="3:5">
      <c r="C558" s="9"/>
      <c r="E558" s="9"/>
    </row>
    <row r="559" spans="3:5">
      <c r="C559" s="9"/>
      <c r="E559" s="9"/>
    </row>
    <row r="560" spans="3:5">
      <c r="C560" s="9"/>
      <c r="E560" s="9"/>
    </row>
    <row r="561" spans="3:5">
      <c r="C561" s="9"/>
      <c r="E561" s="9"/>
    </row>
    <row r="562" spans="3:5">
      <c r="C562" s="9"/>
      <c r="E562" s="9"/>
    </row>
    <row r="563" spans="3:5">
      <c r="C563" s="9"/>
      <c r="E563" s="9"/>
    </row>
    <row r="564" spans="3:5">
      <c r="C564" s="9"/>
      <c r="E564" s="9"/>
    </row>
    <row r="565" spans="3:5">
      <c r="C565" s="9"/>
      <c r="E565" s="9"/>
    </row>
    <row r="566" spans="3:5">
      <c r="C566" s="9"/>
      <c r="E566" s="9"/>
    </row>
    <row r="567" spans="3:5">
      <c r="C567" s="9"/>
      <c r="E567" s="9"/>
    </row>
    <row r="568" spans="3:5">
      <c r="C568" s="9"/>
      <c r="E568" s="9"/>
    </row>
    <row r="569" spans="3:5">
      <c r="C569" s="9"/>
      <c r="E569" s="9"/>
    </row>
    <row r="570" spans="3:5">
      <c r="C570" s="9"/>
      <c r="E570" s="9"/>
    </row>
    <row r="571" spans="3:5">
      <c r="C571" s="9"/>
      <c r="E571" s="9"/>
    </row>
    <row r="572" spans="3:5">
      <c r="C572" s="9"/>
      <c r="E572" s="9"/>
    </row>
    <row r="573" spans="3:5">
      <c r="C573" s="9"/>
      <c r="E573" s="9"/>
    </row>
    <row r="574" spans="3:5">
      <c r="C574" s="9"/>
      <c r="E574" s="9"/>
    </row>
    <row r="575" spans="3:5">
      <c r="C575" s="9"/>
      <c r="E575" s="9"/>
    </row>
    <row r="576" spans="3:5">
      <c r="C576" s="9"/>
      <c r="E576" s="9"/>
    </row>
    <row r="577" spans="3:5">
      <c r="C577" s="9"/>
      <c r="E577" s="9"/>
    </row>
    <row r="578" spans="3:5">
      <c r="C578" s="9"/>
      <c r="E578" s="9"/>
    </row>
    <row r="579" spans="3:5">
      <c r="C579" s="9"/>
      <c r="E579" s="9"/>
    </row>
    <row r="580" spans="3:5">
      <c r="C580" s="9"/>
      <c r="E580" s="9"/>
    </row>
    <row r="581" spans="3:5">
      <c r="C581" s="9"/>
      <c r="E581" s="9"/>
    </row>
    <row r="582" spans="3:5">
      <c r="C582" s="9"/>
      <c r="E582" s="9"/>
    </row>
    <row r="583" spans="3:5">
      <c r="C583" s="9"/>
      <c r="E583" s="9"/>
    </row>
    <row r="584" spans="3:5">
      <c r="C584" s="9"/>
      <c r="E584" s="9"/>
    </row>
    <row r="585" spans="3:5">
      <c r="C585" s="9"/>
      <c r="E585" s="9"/>
    </row>
    <row r="586" spans="3:5">
      <c r="C586" s="9"/>
      <c r="E586" s="9"/>
    </row>
    <row r="587" spans="3:5">
      <c r="C587" s="9"/>
      <c r="E587" s="9"/>
    </row>
    <row r="588" spans="3:5">
      <c r="C588" s="9"/>
      <c r="E588" s="9"/>
    </row>
    <row r="589" spans="3:5">
      <c r="C589" s="9"/>
      <c r="E589" s="9"/>
    </row>
    <row r="590" spans="3:5">
      <c r="C590" s="9"/>
      <c r="E590" s="9"/>
    </row>
    <row r="591" spans="3:5">
      <c r="C591" s="9"/>
      <c r="E591" s="9"/>
    </row>
    <row r="592" spans="3:5">
      <c r="C592" s="9"/>
      <c r="E592" s="9"/>
    </row>
    <row r="593" spans="3:5">
      <c r="C593" s="9"/>
      <c r="E593" s="9"/>
    </row>
    <row r="594" spans="3:5">
      <c r="C594" s="9"/>
      <c r="E594" s="9"/>
    </row>
    <row r="595" spans="3:5">
      <c r="C595" s="9"/>
      <c r="E595" s="9"/>
    </row>
    <row r="596" spans="3:5">
      <c r="C596" s="9"/>
      <c r="E596" s="9"/>
    </row>
    <row r="597" spans="3:5">
      <c r="C597" s="9"/>
      <c r="E597" s="9"/>
    </row>
    <row r="598" spans="3:5">
      <c r="C598" s="9"/>
      <c r="E598" s="9"/>
    </row>
    <row r="599" spans="3:5">
      <c r="C599" s="9"/>
      <c r="E599" s="9"/>
    </row>
    <row r="600" spans="3:5">
      <c r="C600" s="9"/>
      <c r="E600" s="9"/>
    </row>
    <row r="601" spans="3:5">
      <c r="C601" s="9"/>
      <c r="E601" s="9"/>
    </row>
    <row r="602" spans="3:5">
      <c r="C602" s="9"/>
      <c r="E602" s="9"/>
    </row>
    <row r="603" spans="3:5">
      <c r="C603" s="9"/>
      <c r="E603" s="9"/>
    </row>
    <row r="604" spans="3:5">
      <c r="C604" s="9"/>
      <c r="E604" s="9"/>
    </row>
    <row r="605" spans="3:5">
      <c r="C605" s="9"/>
      <c r="E605" s="9"/>
    </row>
    <row r="606" spans="3:5">
      <c r="C606" s="9"/>
      <c r="E606" s="9"/>
    </row>
    <row r="607" spans="3:5">
      <c r="C607" s="9"/>
      <c r="E607" s="9"/>
    </row>
    <row r="608" spans="3:5">
      <c r="C608" s="9"/>
      <c r="E608" s="9"/>
    </row>
    <row r="609" spans="3:5">
      <c r="C609" s="9"/>
      <c r="E609" s="9"/>
    </row>
    <row r="610" spans="3:5">
      <c r="C610" s="9"/>
      <c r="E610" s="9"/>
    </row>
    <row r="611" spans="3:5">
      <c r="C611" s="9"/>
      <c r="E611" s="9"/>
    </row>
    <row r="612" spans="3:5">
      <c r="C612" s="9"/>
      <c r="E612" s="9"/>
    </row>
    <row r="613" spans="3:5">
      <c r="C613" s="9"/>
      <c r="E613" s="9"/>
    </row>
    <row r="614" spans="3:5">
      <c r="C614" s="9"/>
      <c r="E614" s="9"/>
    </row>
    <row r="615" spans="3:5">
      <c r="C615" s="9"/>
      <c r="E615" s="9"/>
    </row>
    <row r="616" spans="3:5">
      <c r="C616" s="9"/>
      <c r="E616" s="9"/>
    </row>
    <row r="617" spans="3:5">
      <c r="C617" s="9"/>
      <c r="E617" s="9"/>
    </row>
    <row r="618" spans="3:5">
      <c r="C618" s="9"/>
      <c r="E618" s="9"/>
    </row>
    <row r="619" spans="3:5">
      <c r="C619" s="9"/>
      <c r="E619" s="9"/>
    </row>
    <row r="620" spans="3:5">
      <c r="C620" s="9"/>
      <c r="E620" s="9"/>
    </row>
    <row r="621" spans="3:5">
      <c r="C621" s="9"/>
      <c r="E621" s="9"/>
    </row>
    <row r="622" spans="3:5">
      <c r="C622" s="9"/>
      <c r="E622" s="9"/>
    </row>
    <row r="623" spans="3:5">
      <c r="C623" s="9"/>
      <c r="E623" s="9"/>
    </row>
    <row r="624" spans="3:5">
      <c r="C624" s="9"/>
      <c r="E624" s="9"/>
    </row>
    <row r="625" spans="3:5">
      <c r="C625" s="9"/>
      <c r="E625" s="9"/>
    </row>
    <row r="626" spans="3:5">
      <c r="C626" s="9"/>
      <c r="E626" s="9"/>
    </row>
    <row r="627" spans="3:5">
      <c r="C627" s="9"/>
      <c r="E627" s="9"/>
    </row>
    <row r="628" spans="3:5">
      <c r="C628" s="9"/>
      <c r="E628" s="9"/>
    </row>
    <row r="629" spans="3:5">
      <c r="C629" s="9"/>
      <c r="E629" s="9"/>
    </row>
    <row r="630" spans="3:5">
      <c r="C630" s="9"/>
      <c r="E630" s="9"/>
    </row>
    <row r="631" spans="3:5">
      <c r="C631" s="9"/>
      <c r="E631" s="9"/>
    </row>
    <row r="632" spans="3:5">
      <c r="C632" s="9"/>
      <c r="E632" s="9"/>
    </row>
    <row r="633" spans="3:5">
      <c r="C633" s="9"/>
      <c r="E633" s="9"/>
    </row>
    <row r="634" spans="3:5">
      <c r="C634" s="9"/>
      <c r="E634" s="9"/>
    </row>
    <row r="635" spans="3:5">
      <c r="C635" s="9"/>
      <c r="E635" s="9"/>
    </row>
    <row r="636" spans="3:5">
      <c r="C636" s="9"/>
      <c r="E636" s="9"/>
    </row>
    <row r="637" spans="3:5">
      <c r="C637" s="9"/>
      <c r="E637" s="9"/>
    </row>
    <row r="638" spans="3:5">
      <c r="C638" s="9"/>
      <c r="E638" s="9"/>
    </row>
    <row r="639" spans="3:5">
      <c r="C639" s="9"/>
      <c r="E639" s="9"/>
    </row>
    <row r="640" spans="3:5">
      <c r="C640" s="9"/>
      <c r="E640" s="9"/>
    </row>
    <row r="641" spans="3:5">
      <c r="C641" s="9"/>
      <c r="E641" s="9"/>
    </row>
    <row r="642" spans="3:5">
      <c r="C642" s="9"/>
      <c r="E642" s="9"/>
    </row>
    <row r="643" spans="3:5">
      <c r="C643" s="9"/>
      <c r="E643" s="9"/>
    </row>
    <row r="644" spans="3:5">
      <c r="C644" s="9"/>
      <c r="E644" s="9"/>
    </row>
    <row r="645" spans="3:5">
      <c r="C645" s="9"/>
      <c r="E645" s="9"/>
    </row>
    <row r="646" spans="3:5">
      <c r="C646" s="9"/>
      <c r="E646" s="9"/>
    </row>
    <row r="647" spans="3:5">
      <c r="C647" s="9"/>
      <c r="E647" s="9"/>
    </row>
    <row r="648" spans="3:5">
      <c r="C648" s="9"/>
      <c r="E648" s="9"/>
    </row>
    <row r="649" spans="3:5">
      <c r="C649" s="9"/>
      <c r="E649" s="9"/>
    </row>
    <row r="650" spans="3:5">
      <c r="C650" s="9"/>
      <c r="E650" s="9"/>
    </row>
    <row r="651" spans="3:5">
      <c r="C651" s="9"/>
      <c r="E651" s="9"/>
    </row>
    <row r="652" spans="3:5">
      <c r="C652" s="9"/>
      <c r="E652" s="9"/>
    </row>
    <row r="653" spans="3:5">
      <c r="C653" s="9"/>
      <c r="E653" s="9"/>
    </row>
    <row r="654" spans="3:5">
      <c r="C654" s="9"/>
      <c r="E654" s="9"/>
    </row>
    <row r="655" spans="3:5">
      <c r="C655" s="9"/>
      <c r="E655" s="9"/>
    </row>
    <row r="656" spans="3:5">
      <c r="C656" s="9"/>
      <c r="E656" s="9"/>
    </row>
    <row r="657" spans="3:5">
      <c r="C657" s="9"/>
      <c r="E657" s="9"/>
    </row>
    <row r="658" spans="3:5">
      <c r="C658" s="9"/>
      <c r="E658" s="9"/>
    </row>
    <row r="659" spans="3:5">
      <c r="C659" s="9"/>
      <c r="E659" s="9"/>
    </row>
    <row r="660" spans="3:5">
      <c r="C660" s="9"/>
      <c r="E660" s="9"/>
    </row>
    <row r="661" spans="3:5">
      <c r="C661" s="9"/>
      <c r="E661" s="9"/>
    </row>
    <row r="662" spans="3:5">
      <c r="C662" s="9"/>
      <c r="E662" s="9"/>
    </row>
    <row r="663" spans="3:5">
      <c r="C663" s="9"/>
      <c r="E663" s="9"/>
    </row>
    <row r="664" spans="3:5">
      <c r="C664" s="9"/>
      <c r="E664" s="9"/>
    </row>
    <row r="665" spans="3:5">
      <c r="C665" s="9"/>
      <c r="E665" s="9"/>
    </row>
    <row r="666" spans="3:5">
      <c r="C666" s="9"/>
      <c r="E666" s="9"/>
    </row>
    <row r="667" spans="3:5">
      <c r="C667" s="9"/>
      <c r="E667" s="9"/>
    </row>
    <row r="668" spans="3:5">
      <c r="C668" s="9"/>
      <c r="E668" s="9"/>
    </row>
    <row r="669" spans="3:5">
      <c r="C669" s="9"/>
      <c r="E669" s="9"/>
    </row>
    <row r="670" spans="3:5">
      <c r="C670" s="9"/>
      <c r="E670" s="9"/>
    </row>
    <row r="671" spans="3:5">
      <c r="C671" s="9"/>
      <c r="E671" s="9"/>
    </row>
    <row r="672" spans="3:5">
      <c r="C672" s="9"/>
      <c r="E672" s="9"/>
    </row>
    <row r="673" spans="3:5">
      <c r="C673" s="9"/>
      <c r="E673" s="9"/>
    </row>
    <row r="674" spans="3:5">
      <c r="C674" s="9"/>
      <c r="E674" s="9"/>
    </row>
    <row r="675" spans="3:5">
      <c r="C675" s="9"/>
      <c r="E675" s="9"/>
    </row>
    <row r="676" spans="3:5">
      <c r="C676" s="9"/>
      <c r="E676" s="9"/>
    </row>
    <row r="677" spans="3:5">
      <c r="C677" s="9"/>
      <c r="E677" s="9"/>
    </row>
    <row r="678" spans="3:5">
      <c r="C678" s="9"/>
      <c r="E678" s="9"/>
    </row>
    <row r="679" spans="3:5">
      <c r="C679" s="9"/>
      <c r="E679" s="9"/>
    </row>
    <row r="680" spans="3:5">
      <c r="C680" s="9"/>
      <c r="E680" s="9"/>
    </row>
    <row r="681" spans="3:5">
      <c r="C681" s="9"/>
      <c r="E681" s="9"/>
    </row>
    <row r="682" spans="3:5">
      <c r="C682" s="9"/>
      <c r="E682" s="9"/>
    </row>
    <row r="683" spans="3:5">
      <c r="C683" s="9"/>
      <c r="E683" s="9"/>
    </row>
    <row r="684" spans="3:5">
      <c r="C684" s="9"/>
      <c r="E684" s="9"/>
    </row>
    <row r="685" spans="3:5">
      <c r="C685" s="9"/>
      <c r="E685" s="9"/>
    </row>
    <row r="686" spans="3:5">
      <c r="C686" s="9"/>
      <c r="E686" s="9"/>
    </row>
    <row r="687" spans="3:5">
      <c r="C687" s="9"/>
      <c r="E687" s="9"/>
    </row>
    <row r="688" spans="3:5">
      <c r="C688" s="9"/>
      <c r="E688" s="9"/>
    </row>
    <row r="689" spans="3:5">
      <c r="C689" s="9"/>
      <c r="E689" s="9"/>
    </row>
    <row r="690" spans="3:5">
      <c r="C690" s="9"/>
      <c r="E690" s="9"/>
    </row>
    <row r="691" spans="3:5">
      <c r="C691" s="9"/>
      <c r="E691" s="9"/>
    </row>
    <row r="692" spans="3:5">
      <c r="C692" s="9"/>
      <c r="E692" s="9"/>
    </row>
    <row r="693" spans="3:5">
      <c r="C693" s="9"/>
      <c r="E693" s="9"/>
    </row>
    <row r="694" spans="3:5">
      <c r="C694" s="9"/>
      <c r="E694" s="9"/>
    </row>
    <row r="695" spans="3:5">
      <c r="C695" s="9"/>
      <c r="E695" s="9"/>
    </row>
    <row r="696" spans="3:5">
      <c r="C696" s="9"/>
      <c r="E696" s="9"/>
    </row>
    <row r="697" spans="3:5">
      <c r="C697" s="9"/>
      <c r="E697" s="9"/>
    </row>
    <row r="698" spans="3:5">
      <c r="C698" s="9"/>
      <c r="E698" s="9"/>
    </row>
    <row r="699" spans="3:5">
      <c r="C699" s="9"/>
      <c r="E699" s="9"/>
    </row>
    <row r="700" spans="3:5">
      <c r="C700" s="9"/>
      <c r="E700" s="9"/>
    </row>
    <row r="701" spans="3:5">
      <c r="C701" s="9"/>
      <c r="E701" s="9"/>
    </row>
    <row r="702" spans="3:5">
      <c r="C702" s="9"/>
      <c r="E702" s="9"/>
    </row>
    <row r="703" spans="3:5">
      <c r="C703" s="9"/>
      <c r="E703" s="9"/>
    </row>
    <row r="704" spans="3:5">
      <c r="C704" s="9"/>
      <c r="E704" s="9"/>
    </row>
    <row r="705" spans="3:5">
      <c r="C705" s="9"/>
      <c r="E705" s="9"/>
    </row>
    <row r="706" spans="3:5">
      <c r="C706" s="9"/>
      <c r="E706" s="9"/>
    </row>
    <row r="707" spans="3:5">
      <c r="C707" s="9"/>
      <c r="E707" s="9"/>
    </row>
    <row r="708" spans="3:5">
      <c r="C708" s="9"/>
      <c r="E708" s="9"/>
    </row>
    <row r="709" spans="3:5">
      <c r="C709" s="9"/>
      <c r="E709" s="9"/>
    </row>
    <row r="710" spans="3:5">
      <c r="C710" s="9"/>
      <c r="E710" s="9"/>
    </row>
    <row r="711" spans="3:5">
      <c r="C711" s="9"/>
      <c r="E711" s="9"/>
    </row>
    <row r="712" spans="3:5">
      <c r="C712" s="9"/>
      <c r="E712" s="9"/>
    </row>
    <row r="713" spans="3:5">
      <c r="C713" s="9"/>
      <c r="E713" s="9"/>
    </row>
    <row r="714" spans="3:5">
      <c r="C714" s="9"/>
      <c r="E714" s="9"/>
    </row>
    <row r="715" spans="3:5">
      <c r="C715" s="9"/>
      <c r="E715" s="9"/>
    </row>
    <row r="716" spans="3:5">
      <c r="C716" s="9"/>
      <c r="E716" s="9"/>
    </row>
    <row r="717" spans="3:5">
      <c r="C717" s="9"/>
      <c r="E717" s="9"/>
    </row>
    <row r="718" spans="3:5">
      <c r="C718" s="9"/>
      <c r="E718" s="9"/>
    </row>
    <row r="719" spans="3:5">
      <c r="C719" s="9"/>
      <c r="E719" s="9"/>
    </row>
    <row r="720" spans="3:5">
      <c r="C720" s="9"/>
      <c r="E720" s="9"/>
    </row>
    <row r="721" spans="3:5">
      <c r="C721" s="9"/>
      <c r="E721" s="9"/>
    </row>
    <row r="722" spans="3:5">
      <c r="C722" s="9"/>
      <c r="E722" s="9"/>
    </row>
    <row r="723" spans="3:5">
      <c r="C723" s="9"/>
      <c r="E723" s="9"/>
    </row>
    <row r="724" spans="3:5">
      <c r="C724" s="9"/>
      <c r="E724" s="9"/>
    </row>
    <row r="725" spans="3:5">
      <c r="C725" s="9"/>
      <c r="E725" s="9"/>
    </row>
    <row r="726" spans="3:5">
      <c r="C726" s="9"/>
      <c r="E726" s="9"/>
    </row>
    <row r="727" spans="3:5">
      <c r="C727" s="9"/>
      <c r="E727" s="9"/>
    </row>
    <row r="728" spans="3:5">
      <c r="C728" s="9"/>
      <c r="E728" s="9"/>
    </row>
    <row r="729" spans="3:5">
      <c r="C729" s="9"/>
      <c r="E729" s="9"/>
    </row>
    <row r="730" spans="3:5">
      <c r="C730" s="9"/>
      <c r="E730" s="9"/>
    </row>
    <row r="731" spans="3:5">
      <c r="C731" s="9"/>
      <c r="E731" s="9"/>
    </row>
    <row r="732" spans="3:5">
      <c r="C732" s="9"/>
      <c r="E732" s="9"/>
    </row>
    <row r="733" spans="3:5">
      <c r="C733" s="9"/>
      <c r="E733" s="9"/>
    </row>
    <row r="734" spans="3:5">
      <c r="C734" s="9"/>
      <c r="E734" s="9"/>
    </row>
    <row r="735" spans="3:5">
      <c r="C735" s="9"/>
      <c r="E735" s="9"/>
    </row>
    <row r="736" spans="3:5">
      <c r="C736" s="9"/>
      <c r="E736" s="9"/>
    </row>
    <row r="737" spans="3:5">
      <c r="C737" s="9"/>
      <c r="E737" s="9"/>
    </row>
    <row r="738" spans="3:5">
      <c r="C738" s="9"/>
      <c r="E738" s="9"/>
    </row>
    <row r="739" spans="3:5">
      <c r="C739" s="9"/>
      <c r="E739" s="9"/>
    </row>
    <row r="740" spans="3:5">
      <c r="C740" s="9"/>
      <c r="E740" s="9"/>
    </row>
    <row r="741" spans="3:5">
      <c r="C741" s="9"/>
      <c r="E741" s="9"/>
    </row>
    <row r="742" spans="3:5">
      <c r="C742" s="9"/>
      <c r="E742" s="9"/>
    </row>
    <row r="743" spans="3:5">
      <c r="C743" s="9"/>
      <c r="E743" s="9"/>
    </row>
    <row r="744" spans="3:5">
      <c r="C744" s="9"/>
      <c r="E744" s="9"/>
    </row>
    <row r="745" spans="3:5">
      <c r="C745" s="9"/>
      <c r="E745" s="9"/>
    </row>
    <row r="746" spans="3:5">
      <c r="C746" s="9"/>
      <c r="E746" s="9"/>
    </row>
    <row r="747" spans="3:5">
      <c r="C747" s="9"/>
      <c r="E747" s="9"/>
    </row>
    <row r="748" spans="3:5">
      <c r="C748" s="9"/>
      <c r="E748" s="9"/>
    </row>
    <row r="749" spans="3:5">
      <c r="C749" s="9"/>
      <c r="E749" s="9"/>
    </row>
    <row r="750" spans="3:5">
      <c r="C750" s="9"/>
      <c r="E750" s="9"/>
    </row>
    <row r="751" spans="3:5">
      <c r="C751" s="9"/>
      <c r="E751" s="9"/>
    </row>
    <row r="752" spans="3:5">
      <c r="C752" s="9"/>
      <c r="E752" s="9"/>
    </row>
    <row r="753" spans="3:5">
      <c r="C753" s="9"/>
      <c r="E753" s="9"/>
    </row>
    <row r="754" spans="3:5">
      <c r="C754" s="9"/>
      <c r="E754" s="9"/>
    </row>
    <row r="755" spans="3:5">
      <c r="C755" s="9"/>
      <c r="E755" s="9"/>
    </row>
    <row r="756" spans="3:5">
      <c r="C756" s="9"/>
      <c r="E756" s="9"/>
    </row>
    <row r="757" spans="3:5">
      <c r="C757" s="9"/>
      <c r="E757" s="9"/>
    </row>
    <row r="758" spans="3:5">
      <c r="C758" s="9"/>
      <c r="E758" s="9"/>
    </row>
    <row r="759" spans="3:5">
      <c r="C759" s="9"/>
      <c r="E759" s="9"/>
    </row>
    <row r="760" spans="3:5">
      <c r="C760" s="9"/>
      <c r="E760" s="9"/>
    </row>
    <row r="761" spans="3:5">
      <c r="C761" s="9"/>
      <c r="E761" s="9"/>
    </row>
    <row r="762" spans="3:5">
      <c r="C762" s="9"/>
      <c r="E762" s="9"/>
    </row>
    <row r="763" spans="3:5">
      <c r="C763" s="9"/>
      <c r="E763" s="9"/>
    </row>
    <row r="764" spans="3:5">
      <c r="C764" s="9"/>
      <c r="E764" s="9"/>
    </row>
    <row r="765" spans="3:5">
      <c r="C765" s="9"/>
      <c r="E765" s="9"/>
    </row>
    <row r="766" spans="3:5">
      <c r="C766" s="9"/>
      <c r="E766" s="9"/>
    </row>
    <row r="767" spans="3:5">
      <c r="C767" s="9"/>
      <c r="E767" s="9"/>
    </row>
    <row r="768" spans="3:5">
      <c r="C768" s="9"/>
      <c r="E768" s="9"/>
    </row>
    <row r="769" spans="3:5">
      <c r="C769" s="9"/>
      <c r="E769" s="9"/>
    </row>
    <row r="770" spans="3:5">
      <c r="C770" s="9"/>
      <c r="E770" s="9"/>
    </row>
    <row r="771" spans="3:5">
      <c r="C771" s="9"/>
      <c r="E771" s="9"/>
    </row>
    <row r="772" spans="3:5">
      <c r="C772" s="9"/>
      <c r="E772" s="9"/>
    </row>
    <row r="773" spans="3:5">
      <c r="C773" s="9"/>
      <c r="E773" s="9"/>
    </row>
    <row r="774" spans="3:5">
      <c r="C774" s="9"/>
      <c r="E774" s="9"/>
    </row>
    <row r="775" spans="3:5">
      <c r="C775" s="9"/>
      <c r="E775" s="9"/>
    </row>
    <row r="776" spans="3:5">
      <c r="C776" s="9"/>
      <c r="E776" s="9"/>
    </row>
    <row r="777" spans="3:5">
      <c r="C777" s="9"/>
      <c r="E777" s="9"/>
    </row>
    <row r="778" spans="3:5">
      <c r="C778" s="9"/>
      <c r="E778" s="9"/>
    </row>
    <row r="779" spans="3:5">
      <c r="C779" s="9"/>
      <c r="E779" s="9"/>
    </row>
    <row r="780" spans="3:5">
      <c r="C780" s="9"/>
      <c r="E780" s="9"/>
    </row>
    <row r="781" spans="3:5">
      <c r="C781" s="9"/>
      <c r="E781" s="9"/>
    </row>
    <row r="782" spans="3:5">
      <c r="C782" s="9"/>
      <c r="E782" s="9"/>
    </row>
    <row r="783" spans="3:5">
      <c r="C783" s="9"/>
      <c r="E783" s="9"/>
    </row>
    <row r="784" spans="3:5">
      <c r="C784" s="9"/>
      <c r="E784" s="9"/>
    </row>
    <row r="785" spans="3:5">
      <c r="C785" s="9"/>
      <c r="E785" s="9"/>
    </row>
    <row r="786" spans="3:5">
      <c r="C786" s="9"/>
      <c r="E786" s="9"/>
    </row>
    <row r="787" spans="3:5">
      <c r="C787" s="9"/>
      <c r="E787" s="9"/>
    </row>
    <row r="788" spans="3:5">
      <c r="C788" s="9"/>
      <c r="E788" s="9"/>
    </row>
    <row r="789" spans="3:5">
      <c r="C789" s="9"/>
      <c r="E789" s="9"/>
    </row>
    <row r="790" spans="3:5">
      <c r="C790" s="9"/>
      <c r="E790" s="9"/>
    </row>
    <row r="791" spans="3:5">
      <c r="C791" s="9"/>
      <c r="E791" s="9"/>
    </row>
    <row r="792" spans="3:5">
      <c r="C792" s="9"/>
      <c r="E792" s="9"/>
    </row>
    <row r="793" spans="3:5">
      <c r="C793" s="9"/>
      <c r="E793" s="9"/>
    </row>
    <row r="794" spans="3:5">
      <c r="C794" s="9"/>
      <c r="E794" s="9"/>
    </row>
    <row r="795" spans="3:5">
      <c r="C795" s="9"/>
      <c r="E795" s="9"/>
    </row>
    <row r="796" spans="3:5">
      <c r="C796" s="9"/>
      <c r="E796" s="9"/>
    </row>
    <row r="797" spans="3:5">
      <c r="C797" s="9"/>
      <c r="E797" s="9"/>
    </row>
    <row r="798" spans="3:5">
      <c r="C798" s="9"/>
      <c r="E798" s="9"/>
    </row>
    <row r="799" spans="3:5">
      <c r="C799" s="9"/>
      <c r="E799" s="9"/>
    </row>
    <row r="800" spans="3:5">
      <c r="C800" s="9"/>
      <c r="E800" s="9"/>
    </row>
    <row r="801" spans="3:5">
      <c r="C801" s="9"/>
      <c r="E801" s="9"/>
    </row>
    <row r="802" spans="3:5">
      <c r="C802" s="9"/>
      <c r="E802" s="9"/>
    </row>
    <row r="803" spans="3:5">
      <c r="C803" s="9"/>
      <c r="E803" s="9"/>
    </row>
    <row r="804" spans="3:5">
      <c r="C804" s="9"/>
      <c r="E804" s="9"/>
    </row>
    <row r="805" spans="3:5">
      <c r="C805" s="9"/>
      <c r="E805" s="9"/>
    </row>
    <row r="806" spans="3:5">
      <c r="C806" s="9"/>
      <c r="E806" s="9"/>
    </row>
    <row r="807" spans="3:5">
      <c r="C807" s="9"/>
      <c r="E807" s="9"/>
    </row>
    <row r="808" spans="3:5">
      <c r="C808" s="9"/>
      <c r="E808" s="9"/>
    </row>
    <row r="809" spans="3:5">
      <c r="C809" s="9"/>
      <c r="E809" s="9"/>
    </row>
    <row r="810" spans="3:5">
      <c r="C810" s="9"/>
      <c r="E810" s="9"/>
    </row>
    <row r="811" spans="3:5">
      <c r="C811" s="9"/>
      <c r="E811" s="9"/>
    </row>
    <row r="812" spans="3:5">
      <c r="C812" s="9"/>
      <c r="E812" s="9"/>
    </row>
    <row r="813" spans="3:5">
      <c r="C813" s="9"/>
      <c r="E813" s="9"/>
    </row>
    <row r="814" spans="3:5">
      <c r="C814" s="9"/>
      <c r="E814" s="9"/>
    </row>
    <row r="815" spans="3:5">
      <c r="C815" s="9"/>
      <c r="E815" s="9"/>
    </row>
    <row r="816" spans="3:5">
      <c r="C816" s="9"/>
      <c r="E816" s="9"/>
    </row>
    <row r="817" spans="3:5">
      <c r="C817" s="9"/>
      <c r="E817" s="9"/>
    </row>
    <row r="818" spans="3:5">
      <c r="C818" s="9"/>
      <c r="E818" s="9"/>
    </row>
    <row r="819" spans="3:5">
      <c r="C819" s="9"/>
      <c r="E819" s="9"/>
    </row>
    <row r="820" spans="3:5">
      <c r="C820" s="9"/>
      <c r="E820" s="9"/>
    </row>
    <row r="821" spans="3:5">
      <c r="C821" s="9"/>
      <c r="E821" s="9"/>
    </row>
    <row r="822" spans="3:5">
      <c r="C822" s="9"/>
      <c r="E822" s="9"/>
    </row>
    <row r="823" spans="3:5">
      <c r="C823" s="9"/>
      <c r="E823" s="9"/>
    </row>
    <row r="824" spans="3:5">
      <c r="C824" s="9"/>
      <c r="E824" s="9"/>
    </row>
    <row r="825" spans="3:5">
      <c r="C825" s="9"/>
      <c r="E825" s="9"/>
    </row>
    <row r="826" spans="3:5">
      <c r="C826" s="9"/>
      <c r="E826" s="9"/>
    </row>
    <row r="827" spans="3:5">
      <c r="C827" s="9"/>
      <c r="E827" s="9"/>
    </row>
    <row r="828" spans="3:5">
      <c r="C828" s="9"/>
      <c r="E828" s="9"/>
    </row>
    <row r="829" spans="3:5">
      <c r="C829" s="9"/>
      <c r="E829" s="9"/>
    </row>
    <row r="830" spans="3:5">
      <c r="C830" s="9"/>
      <c r="E830" s="9"/>
    </row>
    <row r="831" spans="3:5">
      <c r="C831" s="9"/>
      <c r="E831" s="9"/>
    </row>
    <row r="832" spans="3:5">
      <c r="C832" s="9"/>
      <c r="E832" s="9"/>
    </row>
    <row r="833" spans="3:5">
      <c r="C833" s="9"/>
      <c r="E833" s="9"/>
    </row>
    <row r="834" spans="3:5">
      <c r="C834" s="9"/>
      <c r="E834" s="9"/>
    </row>
    <row r="835" spans="3:5">
      <c r="C835" s="9"/>
      <c r="E835" s="9"/>
    </row>
    <row r="836" spans="3:5">
      <c r="C836" s="9"/>
      <c r="E836" s="9"/>
    </row>
    <row r="837" spans="3:5">
      <c r="C837" s="9"/>
      <c r="E837" s="9"/>
    </row>
    <row r="838" spans="3:5">
      <c r="C838" s="9"/>
      <c r="E838" s="9"/>
    </row>
    <row r="839" spans="3:5">
      <c r="C839" s="9"/>
      <c r="E839" s="9"/>
    </row>
    <row r="840" spans="3:5">
      <c r="C840" s="9"/>
      <c r="E840" s="9"/>
    </row>
    <row r="841" spans="3:5">
      <c r="C841" s="9"/>
      <c r="E841" s="9"/>
    </row>
    <row r="842" spans="3:5">
      <c r="C842" s="9"/>
      <c r="E842" s="9"/>
    </row>
    <row r="843" spans="3:5">
      <c r="C843" s="9"/>
      <c r="E843" s="9"/>
    </row>
    <row r="844" spans="3:5">
      <c r="C844" s="9"/>
      <c r="E844" s="9"/>
    </row>
    <row r="845" spans="3:5">
      <c r="C845" s="9"/>
      <c r="E845" s="9"/>
    </row>
    <row r="846" spans="3:5">
      <c r="C846" s="9"/>
      <c r="E846" s="9"/>
    </row>
    <row r="847" spans="3:5">
      <c r="C847" s="9"/>
      <c r="E847" s="9"/>
    </row>
    <row r="848" spans="3:5">
      <c r="C848" s="9"/>
      <c r="E848" s="9"/>
    </row>
    <row r="849" spans="3:5">
      <c r="C849" s="9"/>
      <c r="E849" s="9"/>
    </row>
    <row r="850" spans="3:5">
      <c r="C850" s="9"/>
      <c r="E850" s="9"/>
    </row>
    <row r="851" spans="3:5">
      <c r="C851" s="9"/>
      <c r="E851" s="9"/>
    </row>
    <row r="852" spans="3:5">
      <c r="C852" s="9"/>
      <c r="E852" s="9"/>
    </row>
    <row r="853" spans="3:5">
      <c r="C853" s="9"/>
      <c r="E853" s="9"/>
    </row>
    <row r="854" spans="3:5">
      <c r="C854" s="9"/>
      <c r="E854" s="9"/>
    </row>
    <row r="855" spans="3:5">
      <c r="C855" s="9"/>
      <c r="E855" s="9"/>
    </row>
    <row r="856" spans="3:5">
      <c r="C856" s="9"/>
      <c r="E856" s="9"/>
    </row>
    <row r="857" spans="3:5">
      <c r="C857" s="9"/>
      <c r="E857" s="9"/>
    </row>
    <row r="858" spans="3:5">
      <c r="C858" s="9"/>
      <c r="E858" s="9"/>
    </row>
    <row r="859" spans="3:5">
      <c r="C859" s="9"/>
      <c r="E859" s="9"/>
    </row>
    <row r="860" spans="3:5">
      <c r="C860" s="9"/>
      <c r="E860" s="9"/>
    </row>
    <row r="861" spans="3:5">
      <c r="C861" s="9"/>
      <c r="E861" s="9"/>
    </row>
    <row r="862" spans="3:5">
      <c r="C862" s="9"/>
      <c r="E862" s="9"/>
    </row>
    <row r="863" spans="3:5">
      <c r="C863" s="9"/>
      <c r="E863" s="9"/>
    </row>
    <row r="864" spans="3:5">
      <c r="C864" s="9"/>
      <c r="E864" s="9"/>
    </row>
    <row r="865" spans="3:5">
      <c r="C865" s="9"/>
      <c r="E865" s="9"/>
    </row>
    <row r="866" spans="3:5">
      <c r="C866" s="9"/>
      <c r="E866" s="9"/>
    </row>
    <row r="867" spans="3:5">
      <c r="C867" s="9"/>
      <c r="E867" s="9"/>
    </row>
    <row r="868" spans="3:5">
      <c r="C868" s="9"/>
      <c r="E868" s="9"/>
    </row>
    <row r="869" spans="3:5">
      <c r="C869" s="9"/>
      <c r="E869" s="9"/>
    </row>
    <row r="870" spans="3:5">
      <c r="C870" s="9"/>
      <c r="E870" s="9"/>
    </row>
    <row r="871" spans="3:5">
      <c r="C871" s="9"/>
      <c r="E871" s="9"/>
    </row>
    <row r="872" spans="3:5">
      <c r="C872" s="9"/>
      <c r="E872" s="9"/>
    </row>
    <row r="873" spans="3:5">
      <c r="C873" s="9"/>
      <c r="E873" s="9"/>
    </row>
    <row r="874" spans="3:5">
      <c r="C874" s="9"/>
      <c r="E874" s="9"/>
    </row>
    <row r="875" spans="3:5">
      <c r="C875" s="9"/>
      <c r="E875" s="9"/>
    </row>
    <row r="876" spans="3:5">
      <c r="C876" s="9"/>
      <c r="E876" s="9"/>
    </row>
    <row r="877" spans="3:5">
      <c r="C877" s="9"/>
      <c r="E877" s="9"/>
    </row>
    <row r="878" spans="3:5">
      <c r="C878" s="9"/>
      <c r="E878" s="9"/>
    </row>
    <row r="879" spans="3:5">
      <c r="C879" s="9"/>
      <c r="E879" s="9"/>
    </row>
    <row r="880" spans="3:5">
      <c r="C880" s="9"/>
      <c r="E880" s="9"/>
    </row>
    <row r="881" spans="3:5">
      <c r="C881" s="9"/>
      <c r="E881" s="9"/>
    </row>
    <row r="882" spans="3:5">
      <c r="C882" s="9"/>
      <c r="E882" s="9"/>
    </row>
    <row r="883" spans="3:5">
      <c r="C883" s="9"/>
      <c r="E883" s="9"/>
    </row>
    <row r="884" spans="3:5">
      <c r="C884" s="9"/>
      <c r="E884" s="9"/>
    </row>
    <row r="885" spans="3:5">
      <c r="C885" s="9"/>
      <c r="E885" s="9"/>
    </row>
    <row r="886" spans="3:5">
      <c r="C886" s="9"/>
      <c r="E886" s="9"/>
    </row>
    <row r="887" spans="3:5">
      <c r="C887" s="9"/>
      <c r="E887" s="9"/>
    </row>
    <row r="888" spans="3:5">
      <c r="C888" s="9"/>
      <c r="E888" s="9"/>
    </row>
    <row r="889" spans="3:5">
      <c r="C889" s="9"/>
      <c r="E889" s="9"/>
    </row>
    <row r="890" spans="3:5">
      <c r="C890" s="9"/>
      <c r="E890" s="9"/>
    </row>
    <row r="891" spans="3:5">
      <c r="C891" s="9"/>
      <c r="E891" s="9"/>
    </row>
    <row r="892" spans="3:5">
      <c r="C892" s="9"/>
      <c r="E892" s="9"/>
    </row>
    <row r="893" spans="3:5">
      <c r="C893" s="9"/>
      <c r="E893" s="9"/>
    </row>
    <row r="894" spans="3:5">
      <c r="C894" s="9"/>
      <c r="E894" s="9"/>
    </row>
    <row r="895" spans="3:5">
      <c r="C895" s="9"/>
      <c r="E895" s="9"/>
    </row>
    <row r="896" spans="3:5">
      <c r="C896" s="9"/>
      <c r="E896" s="9"/>
    </row>
    <row r="897" spans="3:5">
      <c r="C897" s="9"/>
      <c r="E897" s="9"/>
    </row>
    <row r="898" spans="3:5">
      <c r="C898" s="9"/>
      <c r="E898" s="9"/>
    </row>
    <row r="899" spans="3:5">
      <c r="C899" s="9"/>
      <c r="E899" s="9"/>
    </row>
    <row r="900" spans="3:5">
      <c r="C900" s="9"/>
      <c r="E900" s="9"/>
    </row>
    <row r="901" spans="3:5">
      <c r="C901" s="9"/>
      <c r="E901" s="9"/>
    </row>
    <row r="902" spans="3:5">
      <c r="C902" s="9"/>
      <c r="E902" s="9"/>
    </row>
    <row r="903" spans="3:5">
      <c r="C903" s="9"/>
      <c r="E903" s="9"/>
    </row>
    <row r="904" spans="3:5">
      <c r="C904" s="9"/>
      <c r="E904" s="9"/>
    </row>
    <row r="905" spans="3:5">
      <c r="C905" s="9"/>
      <c r="E905" s="9"/>
    </row>
    <row r="906" spans="3:5">
      <c r="C906" s="9"/>
      <c r="E906" s="9"/>
    </row>
    <row r="907" spans="3:5">
      <c r="C907" s="9"/>
      <c r="E907" s="9"/>
    </row>
    <row r="908" spans="3:5">
      <c r="C908" s="9"/>
      <c r="E908" s="9"/>
    </row>
    <row r="909" spans="3:5">
      <c r="C909" s="9"/>
      <c r="E909" s="9"/>
    </row>
    <row r="910" spans="3:5">
      <c r="C910" s="9"/>
      <c r="E910" s="9"/>
    </row>
    <row r="911" spans="3:5">
      <c r="C911" s="9"/>
      <c r="E911" s="9"/>
    </row>
    <row r="912" spans="3:5">
      <c r="C912" s="9"/>
      <c r="E912" s="9"/>
    </row>
    <row r="913" spans="3:5">
      <c r="C913" s="9"/>
      <c r="E913" s="9"/>
    </row>
    <row r="914" spans="3:5">
      <c r="C914" s="9"/>
      <c r="E914" s="9"/>
    </row>
    <row r="915" spans="3:5">
      <c r="C915" s="9"/>
      <c r="E915" s="9"/>
    </row>
    <row r="916" spans="3:5">
      <c r="C916" s="9"/>
      <c r="E916" s="9"/>
    </row>
    <row r="917" spans="3:5">
      <c r="C917" s="9"/>
      <c r="E917" s="9"/>
    </row>
    <row r="918" spans="3:5">
      <c r="C918" s="9"/>
      <c r="E918" s="9"/>
    </row>
    <row r="919" spans="3:5">
      <c r="C919" s="9"/>
      <c r="E919" s="9"/>
    </row>
    <row r="920" spans="3:5">
      <c r="C920" s="9"/>
      <c r="E920" s="9"/>
    </row>
    <row r="921" spans="3:5">
      <c r="C921" s="9"/>
      <c r="E921" s="9"/>
    </row>
    <row r="922" spans="3:5">
      <c r="C922" s="9"/>
      <c r="E922" s="9"/>
    </row>
    <row r="923" spans="3:5">
      <c r="C923" s="9"/>
      <c r="E923" s="9"/>
    </row>
    <row r="924" spans="3:5">
      <c r="C924" s="9"/>
      <c r="E924" s="9"/>
    </row>
    <row r="925" spans="3:5">
      <c r="C925" s="9"/>
      <c r="E925" s="9"/>
    </row>
    <row r="926" spans="3:5">
      <c r="C926" s="9"/>
      <c r="E926" s="9"/>
    </row>
    <row r="927" spans="3:5">
      <c r="C927" s="9"/>
      <c r="E927" s="9"/>
    </row>
    <row r="928" spans="3:5">
      <c r="C928" s="9"/>
      <c r="E928" s="9"/>
    </row>
    <row r="929" spans="3:5">
      <c r="C929" s="9"/>
      <c r="E929" s="9"/>
    </row>
    <row r="930" spans="3:5">
      <c r="C930" s="9"/>
      <c r="E930" s="9"/>
    </row>
    <row r="931" spans="3:5">
      <c r="C931" s="9"/>
      <c r="E931" s="9"/>
    </row>
    <row r="932" spans="3:5">
      <c r="C932" s="9"/>
      <c r="E932" s="9"/>
    </row>
    <row r="933" spans="3:5">
      <c r="C933" s="9"/>
      <c r="E933" s="9"/>
    </row>
    <row r="934" spans="3:5">
      <c r="C934" s="9"/>
      <c r="E934" s="9"/>
    </row>
    <row r="935" spans="3:5">
      <c r="C935" s="9"/>
      <c r="E935" s="9"/>
    </row>
    <row r="936" spans="3:5">
      <c r="C936" s="9"/>
      <c r="E936" s="9"/>
    </row>
    <row r="937" spans="3:5">
      <c r="C937" s="9"/>
      <c r="E937" s="9"/>
    </row>
    <row r="938" spans="3:5">
      <c r="C938" s="9"/>
      <c r="E938" s="9"/>
    </row>
    <row r="939" spans="3:5">
      <c r="C939" s="9"/>
      <c r="E939" s="9"/>
    </row>
    <row r="940" spans="3:5">
      <c r="C940" s="9"/>
      <c r="E940" s="9"/>
    </row>
    <row r="941" spans="3:5">
      <c r="C941" s="9"/>
      <c r="E941" s="9"/>
    </row>
    <row r="942" spans="3:5">
      <c r="C942" s="9"/>
      <c r="E942" s="9"/>
    </row>
    <row r="943" spans="3:5">
      <c r="C943" s="9"/>
      <c r="E943" s="9"/>
    </row>
    <row r="944" spans="3:5">
      <c r="C944" s="9"/>
      <c r="E944" s="9"/>
    </row>
    <row r="945" spans="3:5">
      <c r="C945" s="9"/>
      <c r="E945" s="9"/>
    </row>
    <row r="946" spans="3:5">
      <c r="C946" s="9"/>
      <c r="E946" s="9"/>
    </row>
    <row r="947" spans="3:5">
      <c r="C947" s="9"/>
      <c r="E947" s="9"/>
    </row>
    <row r="948" spans="3:5">
      <c r="C948" s="9"/>
      <c r="E948" s="9"/>
    </row>
    <row r="949" spans="3:5">
      <c r="C949" s="9"/>
      <c r="E949" s="9"/>
    </row>
    <row r="950" spans="3:5">
      <c r="C950" s="9"/>
      <c r="E950" s="9"/>
    </row>
    <row r="951" spans="3:5">
      <c r="C951" s="9"/>
      <c r="E951" s="9"/>
    </row>
    <row r="952" spans="3:5">
      <c r="C952" s="9"/>
      <c r="E952" s="9"/>
    </row>
    <row r="953" spans="3:5">
      <c r="C953" s="9"/>
      <c r="E953" s="9"/>
    </row>
    <row r="954" spans="3:5">
      <c r="C954" s="9"/>
      <c r="E954" s="9"/>
    </row>
    <row r="955" spans="3:5">
      <c r="C955" s="9"/>
      <c r="E955" s="9"/>
    </row>
    <row r="956" spans="3:5">
      <c r="C956" s="9"/>
      <c r="E956" s="9"/>
    </row>
    <row r="957" spans="3:5">
      <c r="C957" s="9"/>
      <c r="E957" s="9"/>
    </row>
    <row r="958" spans="3:5">
      <c r="C958" s="9"/>
      <c r="E958" s="9"/>
    </row>
    <row r="959" spans="3:5">
      <c r="C959" s="9"/>
      <c r="E959" s="9"/>
    </row>
    <row r="960" spans="3:5">
      <c r="C960" s="9"/>
      <c r="E960" s="9"/>
    </row>
    <row r="961" spans="3:5">
      <c r="C961" s="9"/>
      <c r="E961" s="9"/>
    </row>
    <row r="962" spans="3:5">
      <c r="C962" s="9"/>
      <c r="E962" s="9"/>
    </row>
    <row r="963" spans="3:5">
      <c r="C963" s="9"/>
      <c r="E963" s="9"/>
    </row>
    <row r="964" spans="3:5">
      <c r="C964" s="9"/>
      <c r="E964" s="9"/>
    </row>
    <row r="965" spans="3:5">
      <c r="C965" s="9"/>
      <c r="E965" s="9"/>
    </row>
    <row r="966" spans="3:5">
      <c r="C966" s="9"/>
      <c r="E966" s="9"/>
    </row>
    <row r="967" spans="3:5">
      <c r="C967" s="9"/>
      <c r="E967" s="9"/>
    </row>
    <row r="968" spans="3:5">
      <c r="C968" s="9"/>
      <c r="E968" s="9"/>
    </row>
    <row r="969" spans="3:5">
      <c r="C969" s="9"/>
      <c r="E969" s="9"/>
    </row>
    <row r="970" spans="3:5">
      <c r="C970" s="9"/>
      <c r="E970" s="9"/>
    </row>
    <row r="971" spans="3:5">
      <c r="C971" s="9"/>
      <c r="E971" s="9"/>
    </row>
    <row r="972" spans="3:5">
      <c r="C972" s="9"/>
      <c r="E972" s="9"/>
    </row>
    <row r="973" spans="3:5">
      <c r="C973" s="9"/>
      <c r="E973" s="9"/>
    </row>
    <row r="974" spans="3:5">
      <c r="C974" s="9"/>
      <c r="E974" s="9"/>
    </row>
    <row r="975" spans="3:5">
      <c r="C975" s="9"/>
      <c r="E975" s="9"/>
    </row>
    <row r="976" spans="3:5">
      <c r="C976" s="9"/>
      <c r="E976" s="9"/>
    </row>
    <row r="977" spans="3:5">
      <c r="C977" s="9"/>
      <c r="E977" s="9"/>
    </row>
    <row r="978" spans="3:5">
      <c r="C978" s="9"/>
      <c r="E978" s="9"/>
    </row>
    <row r="979" spans="3:5">
      <c r="C979" s="9"/>
      <c r="E979" s="9"/>
    </row>
    <row r="980" spans="3:5">
      <c r="C980" s="9"/>
      <c r="E980" s="9"/>
    </row>
    <row r="981" spans="3:5">
      <c r="C981" s="9"/>
      <c r="E981" s="9"/>
    </row>
    <row r="982" spans="3:5">
      <c r="C982" s="9"/>
      <c r="E982" s="9"/>
    </row>
    <row r="983" spans="3:5">
      <c r="C983" s="9"/>
      <c r="E983" s="9"/>
    </row>
    <row r="984" spans="3:5">
      <c r="C984" s="9"/>
      <c r="E984" s="9"/>
    </row>
    <row r="985" spans="3:5">
      <c r="C985" s="9"/>
      <c r="E985" s="9"/>
    </row>
    <row r="986" spans="3:5">
      <c r="C986" s="9"/>
      <c r="E986" s="9"/>
    </row>
    <row r="987" spans="3:5">
      <c r="C987" s="9"/>
      <c r="E987" s="9"/>
    </row>
    <row r="988" spans="3:5">
      <c r="C988" s="9"/>
      <c r="E988" s="9"/>
    </row>
    <row r="989" spans="3:5">
      <c r="C989" s="9"/>
      <c r="E989" s="9"/>
    </row>
    <row r="990" spans="3:5">
      <c r="C990" s="9"/>
      <c r="E990" s="9"/>
    </row>
    <row r="991" spans="3:5">
      <c r="C991" s="9"/>
      <c r="E991" s="9"/>
    </row>
    <row r="992" spans="3:5">
      <c r="C992" s="9"/>
      <c r="E992" s="9"/>
    </row>
    <row r="993" spans="3:5">
      <c r="C993" s="9"/>
      <c r="E993" s="9"/>
    </row>
    <row r="994" spans="3:5">
      <c r="C994" s="9"/>
      <c r="E994" s="9"/>
    </row>
    <row r="995" spans="3:5">
      <c r="C995" s="9"/>
      <c r="E995" s="9"/>
    </row>
    <row r="996" spans="3:5">
      <c r="C996" s="9"/>
      <c r="E996" s="9"/>
    </row>
    <row r="997" spans="3:5">
      <c r="C997" s="9"/>
      <c r="E997" s="9"/>
    </row>
    <row r="998" spans="3:5">
      <c r="C998" s="9"/>
      <c r="E998" s="9"/>
    </row>
    <row r="999" spans="3:5">
      <c r="C999" s="9"/>
      <c r="E999" s="9"/>
    </row>
    <row r="1000" spans="3:5">
      <c r="C1000" s="9"/>
      <c r="E1000" s="9"/>
    </row>
  </sheetData>
  <pageMargins left="0" right="0" top="0" bottom="0" header="0" footer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0"/>
  <sheetViews>
    <sheetView workbookViewId="0"/>
  </sheetViews>
  <sheetFormatPr defaultColWidth="12.5703125" defaultRowHeight="15.75" customHeight="1"/>
  <cols>
    <col min="1" max="1" width="24.85546875" customWidth="1"/>
    <col min="2" max="2" width="44.28515625" customWidth="1"/>
    <col min="3" max="3" width="28.85546875" customWidth="1"/>
    <col min="4" max="4" width="8.42578125" customWidth="1"/>
    <col min="5" max="5" width="63.28515625" customWidth="1"/>
    <col min="6" max="6" width="8.42578125" customWidth="1"/>
    <col min="7" max="7" width="13.28515625" customWidth="1"/>
    <col min="8" max="8" width="9.42578125" customWidth="1"/>
  </cols>
  <sheetData>
    <row r="1" spans="1:8">
      <c r="A1" s="1" t="s">
        <v>0</v>
      </c>
      <c r="B1" s="2"/>
      <c r="C1" s="3"/>
      <c r="D1" s="2"/>
      <c r="E1" s="3"/>
      <c r="F1" s="2"/>
      <c r="G1" s="2"/>
      <c r="H1" s="2"/>
    </row>
    <row r="2" spans="1:8">
      <c r="A2" s="4" t="s">
        <v>1</v>
      </c>
      <c r="B2" s="2"/>
      <c r="C2" s="3"/>
      <c r="D2" s="2"/>
      <c r="E2" s="3"/>
      <c r="F2" s="2"/>
      <c r="G2" s="2"/>
      <c r="H2" s="2"/>
    </row>
    <row r="3" spans="1:8">
      <c r="A3" s="5">
        <f ca="1">NOW()</f>
        <v>46118.620961574074</v>
      </c>
      <c r="B3" s="2"/>
      <c r="C3" s="3"/>
      <c r="D3" s="2"/>
      <c r="E3" s="3"/>
      <c r="F3" s="2"/>
      <c r="G3" s="2"/>
      <c r="H3" s="2"/>
    </row>
    <row r="4" spans="1:8">
      <c r="A4" s="4" t="s">
        <v>2</v>
      </c>
      <c r="B4" s="2"/>
      <c r="C4" s="3"/>
      <c r="D4" s="2"/>
      <c r="E4" s="3"/>
      <c r="F4" s="2"/>
      <c r="G4" s="2"/>
      <c r="H4" s="2"/>
    </row>
    <row r="5" spans="1:8">
      <c r="A5" s="4" t="s">
        <v>3</v>
      </c>
      <c r="B5" s="2"/>
      <c r="C5" s="3"/>
      <c r="D5" s="2"/>
      <c r="E5" s="3"/>
      <c r="F5" s="2"/>
      <c r="G5" s="2"/>
      <c r="H5" s="2"/>
    </row>
    <row r="6" spans="1:8">
      <c r="A6" s="6" t="s">
        <v>4</v>
      </c>
      <c r="B6" s="6" t="s">
        <v>5</v>
      </c>
      <c r="C6" s="7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6" t="s">
        <v>11</v>
      </c>
    </row>
    <row r="7" spans="1:8">
      <c r="A7" s="8" t="str">
        <f ca="1">IFERROR(__xludf.DUMMYFUNCTION("FILTER(IMPORTRANGE(""https://docs.google.com/spreadsheets/d/1sJXqJAqoqS15wvfnSlYqAhIS5H8gfmcPrvi7oU2Wans/edit#gid=806267711"",""Sheet1!A:H""),INDEX(IMPORTRANGE(""https://docs.google.com/spreadsheets/d/1sJXqJAqoqS15wvfnSlYqAhIS5H8gfmcPrvi7oU2Wans/edit#gid="&amp;"806267711"",""Sheet1!A:H""),0,6)=""EUR"")"),"AS-BASE-PV")</f>
        <v>AS-BASE-PV</v>
      </c>
      <c r="B7" s="8" t="str">
        <f ca="1">IFERROR(__xludf.DUMMYFUNCTION("""COMPUTED_VALUE"""),"Annual Plan AS-BASE-PV")</f>
        <v>Annual Plan AS-BASE-PV</v>
      </c>
      <c r="C7" s="9" t="str">
        <f ca="1">IFERROR(__xludf.DUMMYFUNCTION("""COMPUTED_VALUE"""),"Platform")</f>
        <v>Platform</v>
      </c>
      <c r="D7" s="8" t="str">
        <f ca="1">IFERROR(__xludf.DUMMYFUNCTION("""COMPUTED_VALUE"""),"Recurring")</f>
        <v>Recurring</v>
      </c>
      <c r="E7" s="9" t="str">
        <f ca="1">IFERROR(__xludf.DUMMYFUNCTION("""COMPUTED_VALUE"""),"Appspace Base Private Cloud Subscription. Provides cloud access to the base Appspace platform for use with compatible a la carte add-ons.")</f>
        <v>Appspace Base Private Cloud Subscription. Provides cloud access to the base Appspace platform for use with compatible a la carte add-ons.</v>
      </c>
      <c r="F7" s="10" t="str">
        <f ca="1">IFERROR(__xludf.DUMMYFUNCTION("""COMPUTED_VALUE"""),"EUR")</f>
        <v>EUR</v>
      </c>
      <c r="G7" s="10">
        <f ca="1">IFERROR(__xludf.DUMMYFUNCTION("""COMPUTED_VALUE"""),726)</f>
        <v>726</v>
      </c>
      <c r="H7" s="10">
        <f ca="1">IFERROR(__xludf.DUMMYFUNCTION("""COMPUTED_VALUE"""),8712)</f>
        <v>8712</v>
      </c>
    </row>
    <row r="8" spans="1:8">
      <c r="A8" s="8" t="str">
        <f ca="1">IFERROR(__xludf.DUMMYFUNCTION("""COMPUTED_VALUE"""),"AS-BW-GB")</f>
        <v>AS-BW-GB</v>
      </c>
      <c r="B8" s="8" t="str">
        <f ca="1">IFERROR(__xludf.DUMMYFUNCTION("""COMPUTED_VALUE"""),"Annual Plan AS-BW-GB")</f>
        <v>Annual Plan AS-BW-GB</v>
      </c>
      <c r="C8" s="9" t="str">
        <f ca="1">IFERROR(__xludf.DUMMYFUNCTION("""COMPUTED_VALUE"""),"Bandwidth")</f>
        <v>Bandwidth</v>
      </c>
      <c r="D8" s="8" t="str">
        <f ca="1">IFERROR(__xludf.DUMMYFUNCTION("""COMPUTED_VALUE"""),"Recurring")</f>
        <v>Recurring</v>
      </c>
      <c r="E8" s="9" t="str">
        <f ca="1">IFERROR(__xludf.DUMMYFUNCTION("""COMPUTED_VALUE"""),"Monthly bandwidth allocation (1 GB/month)")</f>
        <v>Monthly bandwidth allocation (1 GB/month)</v>
      </c>
      <c r="F8" s="10" t="str">
        <f ca="1">IFERROR(__xludf.DUMMYFUNCTION("""COMPUTED_VALUE"""),"EUR")</f>
        <v>EUR</v>
      </c>
      <c r="G8" s="10">
        <f ca="1">IFERROR(__xludf.DUMMYFUNCTION("""COMPUTED_VALUE"""),0.15)</f>
        <v>0.15</v>
      </c>
      <c r="H8" s="10">
        <f ca="1">IFERROR(__xludf.DUMMYFUNCTION("""COMPUTED_VALUE"""),1.8)</f>
        <v>1.8</v>
      </c>
    </row>
    <row r="9" spans="1:8">
      <c r="A9" s="8" t="str">
        <f ca="1">IFERROR(__xludf.DUMMYFUNCTION("""COMPUTED_VALUE"""),"AS-BW-GB-1000")</f>
        <v>AS-BW-GB-1000</v>
      </c>
      <c r="B9" s="8" t="str">
        <f ca="1">IFERROR(__xludf.DUMMYFUNCTION("""COMPUTED_VALUE"""),"Annual Plan AS-BW-GB-1000")</f>
        <v>Annual Plan AS-BW-GB-1000</v>
      </c>
      <c r="C9" s="9" t="str">
        <f ca="1">IFERROR(__xludf.DUMMYFUNCTION("""COMPUTED_VALUE"""),"Bandwidth")</f>
        <v>Bandwidth</v>
      </c>
      <c r="D9" s="8" t="str">
        <f ca="1">IFERROR(__xludf.DUMMYFUNCTION("""COMPUTED_VALUE"""),"Recurring")</f>
        <v>Recurring</v>
      </c>
      <c r="E9" s="9" t="str">
        <f ca="1">IFERROR(__xludf.DUMMYFUNCTION("""COMPUTED_VALUE"""),"Monthly bandwidth allocation (1,000 GB/month)")</f>
        <v>Monthly bandwidth allocation (1,000 GB/month)</v>
      </c>
      <c r="F9" s="10" t="str">
        <f ca="1">IFERROR(__xludf.DUMMYFUNCTION("""COMPUTED_VALUE"""),"EUR")</f>
        <v>EUR</v>
      </c>
      <c r="G9" s="10">
        <f ca="1">IFERROR(__xludf.DUMMYFUNCTION("""COMPUTED_VALUE"""),126)</f>
        <v>126</v>
      </c>
      <c r="H9" s="10">
        <f ca="1">IFERROR(__xludf.DUMMYFUNCTION("""COMPUTED_VALUE"""),1512)</f>
        <v>1512</v>
      </c>
    </row>
    <row r="10" spans="1:8">
      <c r="A10" s="8" t="str">
        <f ca="1">IFERROR(__xludf.DUMMYFUNCTION("""COMPUTED_VALUE"""),"AS-BW-GB-500")</f>
        <v>AS-BW-GB-500</v>
      </c>
      <c r="B10" s="8" t="str">
        <f ca="1">IFERROR(__xludf.DUMMYFUNCTION("""COMPUTED_VALUE"""),"Annual Plan AS-BW-GB-500")</f>
        <v>Annual Plan AS-BW-GB-500</v>
      </c>
      <c r="C10" s="9" t="str">
        <f ca="1">IFERROR(__xludf.DUMMYFUNCTION("""COMPUTED_VALUE"""),"Bandwidth")</f>
        <v>Bandwidth</v>
      </c>
      <c r="D10" s="8" t="str">
        <f ca="1">IFERROR(__xludf.DUMMYFUNCTION("""COMPUTED_VALUE"""),"Recurring")</f>
        <v>Recurring</v>
      </c>
      <c r="E10" s="9" t="str">
        <f ca="1">IFERROR(__xludf.DUMMYFUNCTION("""COMPUTED_VALUE"""),"Monthly bandwidth allocation (500 GB/month)")</f>
        <v>Monthly bandwidth allocation (500 GB/month)</v>
      </c>
      <c r="F10" s="10" t="str">
        <f ca="1">IFERROR(__xludf.DUMMYFUNCTION("""COMPUTED_VALUE"""),"EUR")</f>
        <v>EUR</v>
      </c>
      <c r="G10" s="10">
        <f ca="1">IFERROR(__xludf.DUMMYFUNCTION("""COMPUTED_VALUE"""),67.8)</f>
        <v>67.8</v>
      </c>
      <c r="H10" s="10">
        <f ca="1">IFERROR(__xludf.DUMMYFUNCTION("""COMPUTED_VALUE"""),813.6)</f>
        <v>813.6</v>
      </c>
    </row>
    <row r="11" spans="1:8">
      <c r="A11" s="8" t="str">
        <f ca="1">IFERROR(__xludf.DUMMYFUNCTION("""COMPUTED_VALUE"""),"AS-EXPRESS-B-CL")</f>
        <v>AS-EXPRESS-B-CL</v>
      </c>
      <c r="B11" s="8" t="str">
        <f ca="1">IFERROR(__xludf.DUMMYFUNCTION("""COMPUTED_VALUE"""),"Annual Plan AS-EXPRESS-B-CL")</f>
        <v>Annual Plan AS-EXPRESS-B-CL</v>
      </c>
      <c r="C11" s="9" t="str">
        <f ca="1">IFERROR(__xludf.DUMMYFUNCTION("""COMPUTED_VALUE"""),"Platform")</f>
        <v>Platform</v>
      </c>
      <c r="D11" s="8" t="str">
        <f ca="1">IFERROR(__xludf.DUMMYFUNCTION("""COMPUTED_VALUE"""),"Recurring")</f>
        <v>Recurring</v>
      </c>
      <c r="E11" s="9" t="str">
        <f ca="1">IFERROR(__xludf.DUMMYFUNCTION("""COMPUTED_VALUE"""),"Appspace Express Cloud Subscription. Appspace Cloud access to the Appspace Express features for 25 devices, Advanced Support, 25 GB cloud storage, and 25 GB/month cloud bandwidth.")</f>
        <v>Appspace Express Cloud Subscription. Appspace Cloud access to the Appspace Express features for 25 devices, Advanced Support, 25 GB cloud storage, and 25 GB/month cloud bandwidth.</v>
      </c>
      <c r="F11" s="10" t="str">
        <f ca="1">IFERROR(__xludf.DUMMYFUNCTION("""COMPUTED_VALUE"""),"EUR")</f>
        <v>EUR</v>
      </c>
      <c r="G11" s="8">
        <f ca="1">IFERROR(__xludf.DUMMYFUNCTION("""COMPUTED_VALUE"""),1075)</f>
        <v>1075</v>
      </c>
      <c r="H11" s="10">
        <f ca="1">IFERROR(__xludf.DUMMYFUNCTION("""COMPUTED_VALUE"""),12900)</f>
        <v>12900</v>
      </c>
    </row>
    <row r="12" spans="1:8">
      <c r="A12" s="8" t="str">
        <f ca="1">IFERROR(__xludf.DUMMYFUNCTION("""COMPUTED_VALUE"""),"AS-ID-DVC-B-CL-1")</f>
        <v>AS-ID-DVC-B-CL-1</v>
      </c>
      <c r="B12" s="8" t="str">
        <f ca="1">IFERROR(__xludf.DUMMYFUNCTION("""COMPUTED_VALUE"""),"Annual Plan AS-ID-DVC-B-CL-1")</f>
        <v>Annual Plan AS-ID-DVC-B-CL-1</v>
      </c>
      <c r="C12" s="9" t="str">
        <f ca="1">IFERROR(__xludf.DUMMYFUNCTION("""COMPUTED_VALUE"""),"Device ID")</f>
        <v>Device ID</v>
      </c>
      <c r="D12" s="8" t="str">
        <f ca="1">IFERROR(__xludf.DUMMYFUNCTION("""COMPUTED_VALUE"""),"Recurring")</f>
        <v>Recurring</v>
      </c>
      <c r="E12" s="9" t="str">
        <f ca="1">IFERROR(__xludf.DUMMYFUNCTION("""COMPUTED_VALUE"""),"Single additional Device ID (for use with an Express-B cloud subscription)")</f>
        <v>Single additional Device ID (for use with an Express-B cloud subscription)</v>
      </c>
      <c r="F12" s="10" t="str">
        <f ca="1">IFERROR(__xludf.DUMMYFUNCTION("""COMPUTED_VALUE"""),"EUR")</f>
        <v>EUR</v>
      </c>
      <c r="G12" s="10">
        <f ca="1">IFERROR(__xludf.DUMMYFUNCTION("""COMPUTED_VALUE"""),55.21)</f>
        <v>55.21</v>
      </c>
      <c r="H12" s="10">
        <f ca="1">IFERROR(__xludf.DUMMYFUNCTION("""COMPUTED_VALUE"""),662.52)</f>
        <v>662.52</v>
      </c>
    </row>
    <row r="13" spans="1:8">
      <c r="A13" s="8" t="str">
        <f ca="1">IFERROR(__xludf.DUMMYFUNCTION("""COMPUTED_VALUE"""),"AS-ID-DVC-CL-1")</f>
        <v>AS-ID-DVC-CL-1</v>
      </c>
      <c r="B13" s="8" t="str">
        <f ca="1">IFERROR(__xludf.DUMMYFUNCTION("""COMPUTED_VALUE"""),"Annual Plan AS-ID-DVC-CL-1")</f>
        <v>Annual Plan AS-ID-DVC-CL-1</v>
      </c>
      <c r="C13" s="9" t="str">
        <f ca="1">IFERROR(__xludf.DUMMYFUNCTION("""COMPUTED_VALUE"""),"Device ID")</f>
        <v>Device ID</v>
      </c>
      <c r="D13" s="8" t="str">
        <f ca="1">IFERROR(__xludf.DUMMYFUNCTION("""COMPUTED_VALUE"""),"Recurring")</f>
        <v>Recurring</v>
      </c>
      <c r="E13" s="9" t="str">
        <f ca="1">IFERROR(__xludf.DUMMYFUNCTION("""COMPUTED_VALUE"""),"Single additional Device ID (for use with a cloud subscription)")</f>
        <v>Single additional Device ID (for use with a cloud subscription)</v>
      </c>
      <c r="F13" s="10" t="str">
        <f ca="1">IFERROR(__xludf.DUMMYFUNCTION("""COMPUTED_VALUE"""),"EUR")</f>
        <v>EUR</v>
      </c>
      <c r="G13" s="8">
        <f ca="1">IFERROR(__xludf.DUMMYFUNCTION("""COMPUTED_VALUE"""),19.86)</f>
        <v>19.86</v>
      </c>
      <c r="H13" s="8">
        <f ca="1">IFERROR(__xludf.DUMMYFUNCTION("""COMPUTED_VALUE"""),238.32)</f>
        <v>238.32</v>
      </c>
    </row>
    <row r="14" spans="1:8">
      <c r="A14" s="8" t="str">
        <f ca="1">IFERROR(__xludf.DUMMYFUNCTION("""COMPUTED_VALUE"""),"AS-ID-DVC-F-CL-1")</f>
        <v>AS-ID-DVC-F-CL-1</v>
      </c>
      <c r="B14" s="8" t="str">
        <f ca="1">IFERROR(__xludf.DUMMYFUNCTION("""COMPUTED_VALUE"""),"Annual Plan AS-ID-DVC-F-CL-1")</f>
        <v>Annual Plan AS-ID-DVC-F-CL-1</v>
      </c>
      <c r="C14" s="9" t="str">
        <f ca="1">IFERROR(__xludf.DUMMYFUNCTION("""COMPUTED_VALUE"""),"Device ID")</f>
        <v>Device ID</v>
      </c>
      <c r="D14" s="8" t="str">
        <f ca="1">IFERROR(__xludf.DUMMYFUNCTION("""COMPUTED_VALUE"""),"Recurring")</f>
        <v>Recurring</v>
      </c>
      <c r="E14" s="9" t="str">
        <f ca="1">IFERROR(__xludf.DUMMYFUNCTION("""COMPUTED_VALUE"""),"Single additional Device ID (for use with an Omni-F cloud subscription)")</f>
        <v>Single additional Device ID (for use with an Omni-F cloud subscription)</v>
      </c>
      <c r="F14" s="10" t="str">
        <f ca="1">IFERROR(__xludf.DUMMYFUNCTION("""COMPUTED_VALUE"""),"EUR")</f>
        <v>EUR</v>
      </c>
      <c r="G14" s="10">
        <f ca="1">IFERROR(__xludf.DUMMYFUNCTION("""COMPUTED_VALUE"""),7.02)</f>
        <v>7.02</v>
      </c>
      <c r="H14" s="10">
        <f ca="1">IFERROR(__xludf.DUMMYFUNCTION("""COMPUTED_VALUE"""),84.24)</f>
        <v>84.24</v>
      </c>
    </row>
    <row r="15" spans="1:8">
      <c r="A15" s="8" t="str">
        <f ca="1">IFERROR(__xludf.DUMMYFUNCTION("""COMPUTED_VALUE"""),"AS-ID-DVC-F-OP-1")</f>
        <v>AS-ID-DVC-F-OP-1</v>
      </c>
      <c r="B15" s="8" t="str">
        <f ca="1">IFERROR(__xludf.DUMMYFUNCTION("""COMPUTED_VALUE"""),"Annual Plan AS-ID-DVC-F-OP-1")</f>
        <v>Annual Plan AS-ID-DVC-F-OP-1</v>
      </c>
      <c r="C15" s="9" t="str">
        <f ca="1">IFERROR(__xludf.DUMMYFUNCTION("""COMPUTED_VALUE"""),"Device ID")</f>
        <v>Device ID</v>
      </c>
      <c r="D15" s="8" t="str">
        <f ca="1">IFERROR(__xludf.DUMMYFUNCTION("""COMPUTED_VALUE"""),"Recurring")</f>
        <v>Recurring</v>
      </c>
      <c r="E15" s="9" t="str">
        <f ca="1">IFERROR(__xludf.DUMMYFUNCTION("""COMPUTED_VALUE"""),"Single additional Device ID (for use with an Omni-F on-prem subscription)")</f>
        <v>Single additional Device ID (for use with an Omni-F on-prem subscription)</v>
      </c>
      <c r="F15" s="10" t="str">
        <f ca="1">IFERROR(__xludf.DUMMYFUNCTION("""COMPUTED_VALUE"""),"EUR")</f>
        <v>EUR</v>
      </c>
      <c r="G15" s="10">
        <f ca="1">IFERROR(__xludf.DUMMYFUNCTION("""COMPUTED_VALUE"""),14.05)</f>
        <v>14.05</v>
      </c>
      <c r="H15" s="10">
        <f ca="1">IFERROR(__xludf.DUMMYFUNCTION("""COMPUTED_VALUE"""),168.6)</f>
        <v>168.6</v>
      </c>
    </row>
    <row r="16" spans="1:8">
      <c r="A16" s="8" t="str">
        <f ca="1">IFERROR(__xludf.DUMMYFUNCTION("""COMPUTED_VALUE"""),"AS-ID-DVC-F-PV-1")</f>
        <v>AS-ID-DVC-F-PV-1</v>
      </c>
      <c r="B16" s="8" t="str">
        <f ca="1">IFERROR(__xludf.DUMMYFUNCTION("""COMPUTED_VALUE"""),"Annual Plan AS-ID-DVC-F-PV-1")</f>
        <v>Annual Plan AS-ID-DVC-F-PV-1</v>
      </c>
      <c r="C16" s="9" t="str">
        <f ca="1">IFERROR(__xludf.DUMMYFUNCTION("""COMPUTED_VALUE"""),"Device ID")</f>
        <v>Device ID</v>
      </c>
      <c r="D16" s="8" t="str">
        <f ca="1">IFERROR(__xludf.DUMMYFUNCTION("""COMPUTED_VALUE"""),"Recurring")</f>
        <v>Recurring</v>
      </c>
      <c r="E16" s="9" t="str">
        <f ca="1">IFERROR(__xludf.DUMMYFUNCTION("""COMPUTED_VALUE"""),"Single additional Device ID (for use with an Omni-F private cloud subscription)")</f>
        <v>Single additional Device ID (for use with an Omni-F private cloud subscription)</v>
      </c>
      <c r="F16" s="10" t="str">
        <f ca="1">IFERROR(__xludf.DUMMYFUNCTION("""COMPUTED_VALUE"""),"EUR")</f>
        <v>EUR</v>
      </c>
      <c r="G16" s="10">
        <f ca="1">IFERROR(__xludf.DUMMYFUNCTION("""COMPUTED_VALUE"""),10.54)</f>
        <v>10.54</v>
      </c>
      <c r="H16" s="10">
        <f ca="1">IFERROR(__xludf.DUMMYFUNCTION("""COMPUTED_VALUE"""),126.48)</f>
        <v>126.48</v>
      </c>
    </row>
    <row r="17" spans="1:8">
      <c r="A17" s="8" t="str">
        <f ca="1">IFERROR(__xludf.DUMMYFUNCTION("""COMPUTED_VALUE"""),"AS-ID-DVC-OP-1")</f>
        <v>AS-ID-DVC-OP-1</v>
      </c>
      <c r="B17" s="8" t="str">
        <f ca="1">IFERROR(__xludf.DUMMYFUNCTION("""COMPUTED_VALUE"""),"Annual Plan AS-ID-DVC-OP-1")</f>
        <v>Annual Plan AS-ID-DVC-OP-1</v>
      </c>
      <c r="C17" s="9" t="str">
        <f ca="1">IFERROR(__xludf.DUMMYFUNCTION("""COMPUTED_VALUE"""),"Device ID")</f>
        <v>Device ID</v>
      </c>
      <c r="D17" s="8" t="str">
        <f ca="1">IFERROR(__xludf.DUMMYFUNCTION("""COMPUTED_VALUE"""),"Recurring")</f>
        <v>Recurring</v>
      </c>
      <c r="E17" s="9" t="str">
        <f ca="1">IFERROR(__xludf.DUMMYFUNCTION("""COMPUTED_VALUE"""),"Single additional Device ID (for use with an on-prem subscription)")</f>
        <v>Single additional Device ID (for use with an on-prem subscription)</v>
      </c>
      <c r="F17" s="8" t="str">
        <f ca="1">IFERROR(__xludf.DUMMYFUNCTION("""COMPUTED_VALUE"""),"EUR")</f>
        <v>EUR</v>
      </c>
      <c r="G17" s="10">
        <f ca="1">IFERROR(__xludf.DUMMYFUNCTION("""COMPUTED_VALUE"""),39.71)</f>
        <v>39.71</v>
      </c>
      <c r="H17" s="10">
        <f ca="1">IFERROR(__xludf.DUMMYFUNCTION("""COMPUTED_VALUE"""),476.52)</f>
        <v>476.52</v>
      </c>
    </row>
    <row r="18" spans="1:8">
      <c r="A18" s="8" t="str">
        <f ca="1">IFERROR(__xludf.DUMMYFUNCTION("""COMPUTED_VALUE"""),"AS-ID-DVC-PV-1")</f>
        <v>AS-ID-DVC-PV-1</v>
      </c>
      <c r="B18" s="8" t="str">
        <f ca="1">IFERROR(__xludf.DUMMYFUNCTION("""COMPUTED_VALUE"""),"Annual Plan AS-ID-DVC-PV-1")</f>
        <v>Annual Plan AS-ID-DVC-PV-1</v>
      </c>
      <c r="C18" s="9" t="str">
        <f ca="1">IFERROR(__xludf.DUMMYFUNCTION("""COMPUTED_VALUE"""),"Device ID")</f>
        <v>Device ID</v>
      </c>
      <c r="D18" s="8" t="str">
        <f ca="1">IFERROR(__xludf.DUMMYFUNCTION("""COMPUTED_VALUE"""),"Recurring")</f>
        <v>Recurring</v>
      </c>
      <c r="E18" s="9" t="str">
        <f ca="1">IFERROR(__xludf.DUMMYFUNCTION("""COMPUTED_VALUE"""),"Single additional Device ID (for use with a private cloud subscription)")</f>
        <v>Single additional Device ID (for use with a private cloud subscription)</v>
      </c>
      <c r="F18" s="10" t="str">
        <f ca="1">IFERROR(__xludf.DUMMYFUNCTION("""COMPUTED_VALUE"""),"EUR")</f>
        <v>EUR</v>
      </c>
      <c r="G18" s="10">
        <f ca="1">IFERROR(__xludf.DUMMYFUNCTION("""COMPUTED_VALUE"""),29.79)</f>
        <v>29.79</v>
      </c>
      <c r="H18" s="10">
        <f ca="1">IFERROR(__xludf.DUMMYFUNCTION("""COMPUTED_VALUE"""),357.48)</f>
        <v>357.48</v>
      </c>
    </row>
    <row r="19" spans="1:8">
      <c r="A19" s="8" t="str">
        <f ca="1">IFERROR(__xludf.DUMMYFUNCTION("""COMPUTED_VALUE"""),"AS-IG-AH-1UL")</f>
        <v>AS-IG-AH-1UL</v>
      </c>
      <c r="B19" s="8" t="str">
        <f ca="1">IFERROR(__xludf.DUMMYFUNCTION("""COMPUTED_VALUE"""),"Quarterly Plan AS-IG-AH-1UL")</f>
        <v>Quarterly Plan AS-IG-AH-1UL</v>
      </c>
      <c r="C19" s="9" t="str">
        <f ca="1">IFERROR(__xludf.DUMMYFUNCTION("""COMPUTED_VALUE"""),"Igloo License")</f>
        <v>Igloo License</v>
      </c>
      <c r="D19" s="8" t="str">
        <f ca="1">IFERROR(__xludf.DUMMYFUNCTION("""COMPUTED_VALUE"""),"Recurring")</f>
        <v>Recurring</v>
      </c>
      <c r="E19" s="9" t="str">
        <f ca="1">IFERROR(__xludf.DUMMYFUNCTION("""COMPUTED_VALUE"""),"Authorized User Licenses")</f>
        <v>Authorized User Licenses</v>
      </c>
      <c r="F19" s="10" t="str">
        <f ca="1">IFERROR(__xludf.DUMMYFUNCTION("""COMPUTED_VALUE"""),"EUR")</f>
        <v>EUR</v>
      </c>
      <c r="G19" s="10">
        <f ca="1">IFERROR(__xludf.DUMMYFUNCTION("""COMPUTED_VALUE"""),5.81)</f>
        <v>5.81</v>
      </c>
      <c r="H19" s="10">
        <f ca="1">IFERROR(__xludf.DUMMYFUNCTION("""COMPUTED_VALUE"""),69.72)</f>
        <v>69.72</v>
      </c>
    </row>
    <row r="20" spans="1:8">
      <c r="A20" s="8" t="str">
        <f ca="1">IFERROR(__xludf.DUMMYFUNCTION("""COMPUTED_VALUE"""),"AS-IG-AH-1UL")</f>
        <v>AS-IG-AH-1UL</v>
      </c>
      <c r="B20" s="8" t="str">
        <f ca="1">IFERROR(__xludf.DUMMYFUNCTION("""COMPUTED_VALUE"""),"Annual Plan AS-IG-AH-1UL")</f>
        <v>Annual Plan AS-IG-AH-1UL</v>
      </c>
      <c r="C20" s="9" t="str">
        <f ca="1">IFERROR(__xludf.DUMMYFUNCTION("""COMPUTED_VALUE"""),"Igloo License")</f>
        <v>Igloo License</v>
      </c>
      <c r="D20" s="8" t="str">
        <f ca="1">IFERROR(__xludf.DUMMYFUNCTION("""COMPUTED_VALUE"""),"Recurring")</f>
        <v>Recurring</v>
      </c>
      <c r="E20" s="9" t="str">
        <f ca="1">IFERROR(__xludf.DUMMYFUNCTION("""COMPUTED_VALUE"""),"Authorized User Licenses")</f>
        <v>Authorized User Licenses</v>
      </c>
      <c r="F20" s="10" t="str">
        <f ca="1">IFERROR(__xludf.DUMMYFUNCTION("""COMPUTED_VALUE"""),"EUR")</f>
        <v>EUR</v>
      </c>
      <c r="G20" s="10">
        <f ca="1">IFERROR(__xludf.DUMMYFUNCTION("""COMPUTED_VALUE"""),5.81)</f>
        <v>5.81</v>
      </c>
      <c r="H20" s="10">
        <f ca="1">IFERROR(__xludf.DUMMYFUNCTION("""COMPUTED_VALUE"""),69.72)</f>
        <v>69.72</v>
      </c>
    </row>
    <row r="21" spans="1:8">
      <c r="A21" s="8" t="str">
        <f ca="1">IFERROR(__xludf.DUMMYFUNCTION("""COMPUTED_VALUE"""),"AS-IG-AH-1UL")</f>
        <v>AS-IG-AH-1UL</v>
      </c>
      <c r="B21" s="8" t="str">
        <f ca="1">IFERROR(__xludf.DUMMYFUNCTION("""COMPUTED_VALUE"""),"Monthly Plan AS-IG-AH-1UL")</f>
        <v>Monthly Plan AS-IG-AH-1UL</v>
      </c>
      <c r="C21" s="9" t="str">
        <f ca="1">IFERROR(__xludf.DUMMYFUNCTION("""COMPUTED_VALUE"""),"Igloo License")</f>
        <v>Igloo License</v>
      </c>
      <c r="D21" s="8" t="str">
        <f ca="1">IFERROR(__xludf.DUMMYFUNCTION("""COMPUTED_VALUE"""),"Recurring")</f>
        <v>Recurring</v>
      </c>
      <c r="E21" s="9" t="str">
        <f ca="1">IFERROR(__xludf.DUMMYFUNCTION("""COMPUTED_VALUE"""),"Authorized User Licenses")</f>
        <v>Authorized User Licenses</v>
      </c>
      <c r="F21" s="10" t="str">
        <f ca="1">IFERROR(__xludf.DUMMYFUNCTION("""COMPUTED_VALUE"""),"EUR")</f>
        <v>EUR</v>
      </c>
      <c r="G21" s="10">
        <f ca="1">IFERROR(__xludf.DUMMYFUNCTION("""COMPUTED_VALUE"""),5.81)</f>
        <v>5.81</v>
      </c>
      <c r="H21" s="10">
        <f ca="1">IFERROR(__xludf.DUMMYFUNCTION("""COMPUTED_VALUE"""),69.72)</f>
        <v>69.72</v>
      </c>
    </row>
    <row r="22" spans="1:8">
      <c r="A22" s="8" t="str">
        <f ca="1">IFERROR(__xludf.DUMMYFUNCTION("""COMPUTED_VALUE"""),"AS-IG-AO-B-BHAS")</f>
        <v>AS-IG-AO-B-BHAS</v>
      </c>
      <c r="B22" s="8" t="str">
        <f ca="1">IFERROR(__xludf.DUMMYFUNCTION("""COMPUTED_VALUE"""),"Quarterly Plan AS-IG-AO-B-BHAS")</f>
        <v>Quarterly Plan AS-IG-AO-B-BHAS</v>
      </c>
      <c r="C22" s="9" t="str">
        <f ca="1">IFERROR(__xludf.DUMMYFUNCTION("""COMPUTED_VALUE"""),"Basic Hub and Spoke")</f>
        <v>Basic Hub and Spoke</v>
      </c>
      <c r="D22" s="8" t="str">
        <f ca="1">IFERROR(__xludf.DUMMYFUNCTION("""COMPUTED_VALUE"""),"Recurring")</f>
        <v>Recurring</v>
      </c>
      <c r="E22" s="9" t="str">
        <f ca="1">IFERROR(__xludf.DUMMYFUNCTION("""COMPUTED_VALUE"""),"Basic Hub and Spoke Architecture")</f>
        <v>Basic Hub and Spoke Architecture</v>
      </c>
      <c r="F22" s="10" t="str">
        <f ca="1">IFERROR(__xludf.DUMMYFUNCTION("""COMPUTED_VALUE"""),"EUR")</f>
        <v>EUR</v>
      </c>
      <c r="G22" s="10">
        <f ca="1">IFERROR(__xludf.DUMMYFUNCTION("""COMPUTED_VALUE"""),2018)</f>
        <v>2018</v>
      </c>
      <c r="H22" s="10">
        <f ca="1">IFERROR(__xludf.DUMMYFUNCTION("""COMPUTED_VALUE"""),24216)</f>
        <v>24216</v>
      </c>
    </row>
    <row r="23" spans="1:8">
      <c r="A23" s="8" t="str">
        <f ca="1">IFERROR(__xludf.DUMMYFUNCTION("""COMPUTED_VALUE"""),"AS-IG-AO-B-HHAS")</f>
        <v>AS-IG-AO-B-HHAS</v>
      </c>
      <c r="B23" s="8" t="str">
        <f ca="1">IFERROR(__xludf.DUMMYFUNCTION("""COMPUTED_VALUE"""),"Quarterly Plan AS-IG-AO-B-HHAS")</f>
        <v>Quarterly Plan AS-IG-AO-B-HHAS</v>
      </c>
      <c r="C23" s="9" t="str">
        <f ca="1">IFERROR(__xludf.DUMMYFUNCTION("""COMPUTED_VALUE"""),"Networked Enterprise")</f>
        <v>Networked Enterprise</v>
      </c>
      <c r="D23" s="8" t="str">
        <f ca="1">IFERROR(__xludf.DUMMYFUNCTION("""COMPUTED_VALUE"""),"Recurring")</f>
        <v>Recurring</v>
      </c>
      <c r="E23" s="9" t="str">
        <f ca="1">IFERROR(__xludf.DUMMYFUNCTION("""COMPUTED_VALUE"""),"Networked Enterprise")</f>
        <v>Networked Enterprise</v>
      </c>
      <c r="F23" s="10" t="str">
        <f ca="1">IFERROR(__xludf.DUMMYFUNCTION("""COMPUTED_VALUE"""),"EUR")</f>
        <v>EUR</v>
      </c>
      <c r="G23" s="10">
        <f ca="1">IFERROR(__xludf.DUMMYFUNCTION("""COMPUTED_VALUE"""),145294)</f>
        <v>145294</v>
      </c>
      <c r="H23" s="10">
        <f ca="1">IFERROR(__xludf.DUMMYFUNCTION("""COMPUTED_VALUE"""),1743528)</f>
        <v>1743528</v>
      </c>
    </row>
    <row r="24" spans="1:8">
      <c r="A24" s="8" t="str">
        <f ca="1">IFERROR(__xludf.DUMMYFUNCTION("""COMPUTED_VALUE"""),"AS-IG-AO-B-HHAS")</f>
        <v>AS-IG-AO-B-HHAS</v>
      </c>
      <c r="B24" s="8" t="str">
        <f ca="1">IFERROR(__xludf.DUMMYFUNCTION("""COMPUTED_VALUE"""),"Annual Plan AS-IG-AO-B-HHAS")</f>
        <v>Annual Plan AS-IG-AO-B-HHAS</v>
      </c>
      <c r="C24" s="9" t="str">
        <f ca="1">IFERROR(__xludf.DUMMYFUNCTION("""COMPUTED_VALUE"""),"Networked Enterprise")</f>
        <v>Networked Enterprise</v>
      </c>
      <c r="D24" s="8" t="str">
        <f ca="1">IFERROR(__xludf.DUMMYFUNCTION("""COMPUTED_VALUE"""),"Recurring")</f>
        <v>Recurring</v>
      </c>
      <c r="E24" s="9" t="str">
        <f ca="1">IFERROR(__xludf.DUMMYFUNCTION("""COMPUTED_VALUE"""),"Networked Enterprise")</f>
        <v>Networked Enterprise</v>
      </c>
      <c r="F24" s="10" t="str">
        <f ca="1">IFERROR(__xludf.DUMMYFUNCTION("""COMPUTED_VALUE"""),"EUR")</f>
        <v>EUR</v>
      </c>
      <c r="G24" s="10">
        <f ca="1">IFERROR(__xludf.DUMMYFUNCTION("""COMPUTED_VALUE"""),145294)</f>
        <v>145294</v>
      </c>
      <c r="H24" s="10">
        <f ca="1">IFERROR(__xludf.DUMMYFUNCTION("""COMPUTED_VALUE"""),1743528)</f>
        <v>1743528</v>
      </c>
    </row>
    <row r="25" spans="1:8">
      <c r="A25" s="8" t="str">
        <f ca="1">IFERROR(__xludf.DUMMYFUNCTION("""COMPUTED_VALUE"""),"AS-IG-AO-B-HHASA")</f>
        <v>AS-IG-AO-B-HHASA</v>
      </c>
      <c r="B25" s="8" t="str">
        <f ca="1">IFERROR(__xludf.DUMMYFUNCTION("""COMPUTED_VALUE"""),"Quarterly Plan AS-IG-AO-B-HHASA")</f>
        <v>Quarterly Plan AS-IG-AO-B-HHASA</v>
      </c>
      <c r="C25" s="9" t="str">
        <f ca="1">IFERROR(__xludf.DUMMYFUNCTION("""COMPUTED_VALUE"""),"Additional Spokes")</f>
        <v>Additional Spokes</v>
      </c>
      <c r="D25" s="8" t="str">
        <f ca="1">IFERROR(__xludf.DUMMYFUNCTION("""COMPUTED_VALUE"""),"Recurring")</f>
        <v>Recurring</v>
      </c>
      <c r="E25" s="9" t="str">
        <f ca="1">IFERROR(__xludf.DUMMYFUNCTION("""COMPUTED_VALUE"""),"Hub and Spoke - Additional Spokes")</f>
        <v>Hub and Spoke - Additional Spokes</v>
      </c>
      <c r="F25" s="10" t="str">
        <f ca="1">IFERROR(__xludf.DUMMYFUNCTION("""COMPUTED_VALUE"""),"EUR")</f>
        <v>EUR</v>
      </c>
      <c r="G25" s="10">
        <f ca="1">IFERROR(__xludf.DUMMYFUNCTION("""COMPUTED_VALUE"""),4843)</f>
        <v>4843</v>
      </c>
      <c r="H25" s="10">
        <f ca="1">IFERROR(__xludf.DUMMYFUNCTION("""COMPUTED_VALUE"""),58116)</f>
        <v>58116</v>
      </c>
    </row>
    <row r="26" spans="1:8">
      <c r="A26" s="8" t="str">
        <f ca="1">IFERROR(__xludf.DUMMYFUNCTION("""COMPUTED_VALUE"""),"AS-IG-AO-B-HHASA")</f>
        <v>AS-IG-AO-B-HHASA</v>
      </c>
      <c r="B26" s="8" t="str">
        <f ca="1">IFERROR(__xludf.DUMMYFUNCTION("""COMPUTED_VALUE"""),"Annual Plan AS-IG-AO-B-HHASA")</f>
        <v>Annual Plan AS-IG-AO-B-HHASA</v>
      </c>
      <c r="C26" s="9" t="str">
        <f ca="1">IFERROR(__xludf.DUMMYFUNCTION("""COMPUTED_VALUE"""),"Additional Spokes")</f>
        <v>Additional Spokes</v>
      </c>
      <c r="D26" s="8" t="str">
        <f ca="1">IFERROR(__xludf.DUMMYFUNCTION("""COMPUTED_VALUE"""),"Recurring")</f>
        <v>Recurring</v>
      </c>
      <c r="E26" s="9" t="str">
        <f ca="1">IFERROR(__xludf.DUMMYFUNCTION("""COMPUTED_VALUE"""),"Hub and Spoke - Additional Spokes")</f>
        <v>Hub and Spoke - Additional Spokes</v>
      </c>
      <c r="F26" s="10" t="str">
        <f ca="1">IFERROR(__xludf.DUMMYFUNCTION("""COMPUTED_VALUE"""),"EUR")</f>
        <v>EUR</v>
      </c>
      <c r="G26" s="10">
        <f ca="1">IFERROR(__xludf.DUMMYFUNCTION("""COMPUTED_VALUE"""),4843)</f>
        <v>4843</v>
      </c>
      <c r="H26" s="10">
        <f ca="1">IFERROR(__xludf.DUMMYFUNCTION("""COMPUTED_VALUE"""),58116)</f>
        <v>58116</v>
      </c>
    </row>
    <row r="27" spans="1:8">
      <c r="A27" s="8" t="str">
        <f ca="1">IFERROR(__xludf.DUMMYFUNCTION("""COMPUTED_VALUE"""),"AS-IG-AO-B-HIPAA")</f>
        <v>AS-IG-AO-B-HIPAA</v>
      </c>
      <c r="B27" s="8" t="str">
        <f ca="1">IFERROR(__xludf.DUMMYFUNCTION("""COMPUTED_VALUE"""),"Quarterly Plan AS-IG-AO-B-HIPAA")</f>
        <v>Quarterly Plan AS-IG-AO-B-HIPAA</v>
      </c>
      <c r="C27" s="9" t="str">
        <f ca="1">IFERROR(__xludf.DUMMYFUNCTION("""COMPUTED_VALUE"""),"Security HIPAA")</f>
        <v>Security HIPAA</v>
      </c>
      <c r="D27" s="8" t="str">
        <f ca="1">IFERROR(__xludf.DUMMYFUNCTION("""COMPUTED_VALUE"""),"Recurring")</f>
        <v>Recurring</v>
      </c>
      <c r="E27" s="9" t="str">
        <f ca="1">IFERROR(__xludf.DUMMYFUNCTION("""COMPUTED_VALUE"""),"HIPAA Security Package")</f>
        <v>HIPAA Security Package</v>
      </c>
      <c r="F27" s="10" t="str">
        <f ca="1">IFERROR(__xludf.DUMMYFUNCTION("""COMPUTED_VALUE"""),"EUR")</f>
        <v>EUR</v>
      </c>
      <c r="G27" s="10">
        <f ca="1">IFERROR(__xludf.DUMMYFUNCTION("""COMPUTED_VALUE"""),807)</f>
        <v>807</v>
      </c>
      <c r="H27" s="10">
        <f ca="1">IFERROR(__xludf.DUMMYFUNCTION("""COMPUTED_VALUE"""),9684)</f>
        <v>9684</v>
      </c>
    </row>
    <row r="28" spans="1:8">
      <c r="A28" s="8" t="str">
        <f ca="1">IFERROR(__xludf.DUMMYFUNCTION("""COMPUTED_VALUE"""),"AS-IG-AO-B-HIPAA")</f>
        <v>AS-IG-AO-B-HIPAA</v>
      </c>
      <c r="B28" s="8" t="str">
        <f ca="1">IFERROR(__xludf.DUMMYFUNCTION("""COMPUTED_VALUE"""),"Annual Plan AS-IG-AO-B-HIPAA")</f>
        <v>Annual Plan AS-IG-AO-B-HIPAA</v>
      </c>
      <c r="C28" s="9" t="str">
        <f ca="1">IFERROR(__xludf.DUMMYFUNCTION("""COMPUTED_VALUE"""),"Security HIPAA")</f>
        <v>Security HIPAA</v>
      </c>
      <c r="D28" s="8" t="str">
        <f ca="1">IFERROR(__xludf.DUMMYFUNCTION("""COMPUTED_VALUE"""),"Recurring")</f>
        <v>Recurring</v>
      </c>
      <c r="E28" s="9" t="str">
        <f ca="1">IFERROR(__xludf.DUMMYFUNCTION("""COMPUTED_VALUE"""),"HIPAA Security Package")</f>
        <v>HIPAA Security Package</v>
      </c>
      <c r="F28" s="10" t="str">
        <f ca="1">IFERROR(__xludf.DUMMYFUNCTION("""COMPUTED_VALUE"""),"EUR")</f>
        <v>EUR</v>
      </c>
      <c r="G28" s="10">
        <f ca="1">IFERROR(__xludf.DUMMYFUNCTION("""COMPUTED_VALUE"""),807)</f>
        <v>807</v>
      </c>
      <c r="H28" s="10">
        <f ca="1">IFERROR(__xludf.DUMMYFUNCTION("""COMPUTED_VALUE"""),9684)</f>
        <v>9684</v>
      </c>
    </row>
    <row r="29" spans="1:8">
      <c r="A29" s="8" t="str">
        <f ca="1">IFERROR(__xludf.DUMMYFUNCTION("""COMPUTED_VALUE"""),"AS-IG-AO-B-HSTSS")</f>
        <v>AS-IG-AO-B-HSTSS</v>
      </c>
      <c r="B29" s="8" t="str">
        <f ca="1">IFERROR(__xludf.DUMMYFUNCTION("""COMPUTED_VALUE"""),"Quarterly Plan AS-IG-AO-B-HSTSS")</f>
        <v>Quarterly Plan AS-IG-AO-B-HSTSS</v>
      </c>
      <c r="C29" s="9" t="str">
        <f ca="1">IFERROR(__xludf.DUMMYFUNCTION("""COMPUTED_VALUE"""),"Single Tenant - Shared Services")</f>
        <v>Single Tenant - Shared Services</v>
      </c>
      <c r="D29" s="8" t="str">
        <f ca="1">IFERROR(__xludf.DUMMYFUNCTION("""COMPUTED_VALUE"""),"Recurring")</f>
        <v>Recurring</v>
      </c>
      <c r="E29" s="9" t="str">
        <f ca="1">IFERROR(__xludf.DUMMYFUNCTION("""COMPUTED_VALUE"""),"Single Tenant with Shared Services")</f>
        <v>Single Tenant with Shared Services</v>
      </c>
      <c r="F29" s="10" t="str">
        <f ca="1">IFERROR(__xludf.DUMMYFUNCTION("""COMPUTED_VALUE"""),"EUR")</f>
        <v>EUR</v>
      </c>
      <c r="G29" s="10">
        <f ca="1">IFERROR(__xludf.DUMMYFUNCTION("""COMPUTED_VALUE"""),72647)</f>
        <v>72647</v>
      </c>
      <c r="H29" s="10">
        <f ca="1">IFERROR(__xludf.DUMMYFUNCTION("""COMPUTED_VALUE"""),871764)</f>
        <v>871764</v>
      </c>
    </row>
    <row r="30" spans="1:8">
      <c r="A30" s="8" t="str">
        <f ca="1">IFERROR(__xludf.DUMMYFUNCTION("""COMPUTED_VALUE"""),"AS-IG-AO-B-HSTSS")</f>
        <v>AS-IG-AO-B-HSTSS</v>
      </c>
      <c r="B30" s="8" t="str">
        <f ca="1">IFERROR(__xludf.DUMMYFUNCTION("""COMPUTED_VALUE"""),"Annual Plan AS-IG-AO-B-HSTSS")</f>
        <v>Annual Plan AS-IG-AO-B-HSTSS</v>
      </c>
      <c r="C30" s="9" t="str">
        <f ca="1">IFERROR(__xludf.DUMMYFUNCTION("""COMPUTED_VALUE"""),"Single Tenant - Shared Services")</f>
        <v>Single Tenant - Shared Services</v>
      </c>
      <c r="D30" s="8" t="str">
        <f ca="1">IFERROR(__xludf.DUMMYFUNCTION("""COMPUTED_VALUE"""),"Recurring")</f>
        <v>Recurring</v>
      </c>
      <c r="E30" s="9" t="str">
        <f ca="1">IFERROR(__xludf.DUMMYFUNCTION("""COMPUTED_VALUE"""),"Single Tenant with Shared Services")</f>
        <v>Single Tenant with Shared Services</v>
      </c>
      <c r="F30" s="10" t="str">
        <f ca="1">IFERROR(__xludf.DUMMYFUNCTION("""COMPUTED_VALUE"""),"EUR")</f>
        <v>EUR</v>
      </c>
      <c r="G30" s="10">
        <f ca="1">IFERROR(__xludf.DUMMYFUNCTION("""COMPUTED_VALUE"""),72647)</f>
        <v>72647</v>
      </c>
      <c r="H30" s="10">
        <f ca="1">IFERROR(__xludf.DUMMYFUNCTION("""COMPUTED_VALUE"""),871764)</f>
        <v>871764</v>
      </c>
    </row>
    <row r="31" spans="1:8">
      <c r="A31" s="8" t="str">
        <f ca="1">IFERROR(__xludf.DUMMYFUNCTION("""COMPUTED_VALUE"""),"AS-IG-AO-B-SSSTS")</f>
        <v>AS-IG-AO-B-SSSTS</v>
      </c>
      <c r="B31" s="8" t="str">
        <f ca="1">IFERROR(__xludf.DUMMYFUNCTION("""COMPUTED_VALUE"""),"Quarterly Plan AS-IG-AO-B-SSSTS")</f>
        <v>Quarterly Plan AS-IG-AO-B-SSSTS</v>
      </c>
      <c r="C31" s="9" t="str">
        <f ca="1">IFERROR(__xludf.DUMMYFUNCTION("""COMPUTED_VALUE"""),"Shared SST Site")</f>
        <v>Shared SST Site</v>
      </c>
      <c r="D31" s="8" t="str">
        <f ca="1">IFERROR(__xludf.DUMMYFUNCTION("""COMPUTED_VALUE"""),"Recurring")</f>
        <v>Recurring</v>
      </c>
      <c r="E31" s="9" t="str">
        <f ca="1">IFERROR(__xludf.DUMMYFUNCTION("""COMPUTED_VALUE"""),"Shared SST Site")</f>
        <v>Shared SST Site</v>
      </c>
      <c r="F31" s="10" t="str">
        <f ca="1">IFERROR(__xludf.DUMMYFUNCTION("""COMPUTED_VALUE"""),"EUR")</f>
        <v>EUR</v>
      </c>
      <c r="G31" s="10">
        <f ca="1">IFERROR(__xludf.DUMMYFUNCTION("""COMPUTED_VALUE"""),14529)</f>
        <v>14529</v>
      </c>
      <c r="H31" s="10">
        <f ca="1">IFERROR(__xludf.DUMMYFUNCTION("""COMPUTED_VALUE"""),174348)</f>
        <v>174348</v>
      </c>
    </row>
    <row r="32" spans="1:8">
      <c r="A32" s="8" t="str">
        <f ca="1">IFERROR(__xludf.DUMMYFUNCTION("""COMPUTED_VALUE"""),"AS-IG-AO-B-SSSTS")</f>
        <v>AS-IG-AO-B-SSSTS</v>
      </c>
      <c r="B32" s="8" t="str">
        <f ca="1">IFERROR(__xludf.DUMMYFUNCTION("""COMPUTED_VALUE"""),"Annual Plan AS-IG-AO-B-SSSTS")</f>
        <v>Annual Plan AS-IG-AO-B-SSSTS</v>
      </c>
      <c r="C32" s="9" t="str">
        <f ca="1">IFERROR(__xludf.DUMMYFUNCTION("""COMPUTED_VALUE"""),"Shared SST Site")</f>
        <v>Shared SST Site</v>
      </c>
      <c r="D32" s="8" t="str">
        <f ca="1">IFERROR(__xludf.DUMMYFUNCTION("""COMPUTED_VALUE"""),"Recurring")</f>
        <v>Recurring</v>
      </c>
      <c r="E32" s="9" t="str">
        <f ca="1">IFERROR(__xludf.DUMMYFUNCTION("""COMPUTED_VALUE"""),"Shared SST Site")</f>
        <v>Shared SST Site</v>
      </c>
      <c r="F32" s="10" t="str">
        <f ca="1">IFERROR(__xludf.DUMMYFUNCTION("""COMPUTED_VALUE"""),"EUR")</f>
        <v>EUR</v>
      </c>
      <c r="G32" s="10">
        <f ca="1">IFERROR(__xludf.DUMMYFUNCTION("""COMPUTED_VALUE"""),14529)</f>
        <v>14529</v>
      </c>
      <c r="H32" s="10">
        <f ca="1">IFERROR(__xludf.DUMMYFUNCTION("""COMPUTED_VALUE"""),174348)</f>
        <v>174348</v>
      </c>
    </row>
    <row r="33" spans="1:8">
      <c r="A33" s="8" t="str">
        <f ca="1">IFERROR(__xludf.DUMMYFUNCTION("""COMPUTED_VALUE"""),"AS-IG-AO-CIP")</f>
        <v>AS-IG-AO-CIP</v>
      </c>
      <c r="B33" s="8" t="str">
        <f ca="1">IFERROR(__xludf.DUMMYFUNCTION("""COMPUTED_VALUE"""),"Annual Plan AS-IG-AO-CIP")</f>
        <v>Annual Plan AS-IG-AO-CIP</v>
      </c>
      <c r="C33" s="9" t="str">
        <f ca="1">IFERROR(__xludf.DUMMYFUNCTION("""COMPUTED_VALUE"""),"Continuous Improvement Program")</f>
        <v>Continuous Improvement Program</v>
      </c>
      <c r="D33" s="8" t="str">
        <f ca="1">IFERROR(__xludf.DUMMYFUNCTION("""COMPUTED_VALUE"""),"Recurring")</f>
        <v>Recurring</v>
      </c>
      <c r="E33" s="9" t="str">
        <f ca="1">IFERROR(__xludf.DUMMYFUNCTION("""COMPUTED_VALUE"""),"Continuous Improvement Program")</f>
        <v>Continuous Improvement Program</v>
      </c>
      <c r="F33" s="10" t="str">
        <f ca="1">IFERROR(__xludf.DUMMYFUNCTION("""COMPUTED_VALUE"""),"EUR")</f>
        <v>EUR</v>
      </c>
      <c r="G33" s="10">
        <f ca="1">IFERROR(__xludf.DUMMYFUNCTION("""COMPUTED_VALUE"""),404)</f>
        <v>404</v>
      </c>
      <c r="H33" s="10">
        <f ca="1">IFERROR(__xludf.DUMMYFUNCTION("""COMPUTED_VALUE"""),4848)</f>
        <v>4848</v>
      </c>
    </row>
    <row r="34" spans="1:8">
      <c r="A34" s="8" t="str">
        <f ca="1">IFERROR(__xludf.DUMMYFUNCTION("""COMPUTED_VALUE"""),"AS-IG-AO-CIP")</f>
        <v>AS-IG-AO-CIP</v>
      </c>
      <c r="B34" s="8" t="str">
        <f ca="1">IFERROR(__xludf.DUMMYFUNCTION("""COMPUTED_VALUE"""),"Quarterly Plan AS-IG-AO-CIP")</f>
        <v>Quarterly Plan AS-IG-AO-CIP</v>
      </c>
      <c r="C34" s="9" t="str">
        <f ca="1">IFERROR(__xludf.DUMMYFUNCTION("""COMPUTED_VALUE"""),"Continuous Improvement Program")</f>
        <v>Continuous Improvement Program</v>
      </c>
      <c r="D34" s="8" t="str">
        <f ca="1">IFERROR(__xludf.DUMMYFUNCTION("""COMPUTED_VALUE"""),"Recurring")</f>
        <v>Recurring</v>
      </c>
      <c r="E34" s="9" t="str">
        <f ca="1">IFERROR(__xludf.DUMMYFUNCTION("""COMPUTED_VALUE"""),"Continuous Improvement Program")</f>
        <v>Continuous Improvement Program</v>
      </c>
      <c r="F34" s="10" t="str">
        <f ca="1">IFERROR(__xludf.DUMMYFUNCTION("""COMPUTED_VALUE"""),"EUR")</f>
        <v>EUR</v>
      </c>
      <c r="G34" s="8">
        <f ca="1">IFERROR(__xludf.DUMMYFUNCTION("""COMPUTED_VALUE"""),404)</f>
        <v>404</v>
      </c>
      <c r="H34" s="10">
        <f ca="1">IFERROR(__xludf.DUMMYFUNCTION("""COMPUTED_VALUE"""),4848)</f>
        <v>4848</v>
      </c>
    </row>
    <row r="35" spans="1:8">
      <c r="A35" s="8" t="str">
        <f ca="1">IFERROR(__xludf.DUMMYFUNCTION("""COMPUTED_VALUE"""),"AS-IG-AO-CS-TAM-E")</f>
        <v>AS-IG-AO-CS-TAM-E</v>
      </c>
      <c r="B35" s="8" t="str">
        <f ca="1">IFERROR(__xludf.DUMMYFUNCTION("""COMPUTED_VALUE"""),"Annual Plan AS-IG-AO-CS-TAM-E")</f>
        <v>Annual Plan AS-IG-AO-CS-TAM-E</v>
      </c>
      <c r="C35" s="9" t="str">
        <f ca="1">IFERROR(__xludf.DUMMYFUNCTION("""COMPUTED_VALUE"""),"TAM Enterprise")</f>
        <v>TAM Enterprise</v>
      </c>
      <c r="D35" s="8" t="str">
        <f ca="1">IFERROR(__xludf.DUMMYFUNCTION("""COMPUTED_VALUE"""),"Recurring")</f>
        <v>Recurring</v>
      </c>
      <c r="E35" s="9" t="str">
        <f ca="1">IFERROR(__xludf.DUMMYFUNCTION("""COMPUTED_VALUE"""),"Technical Account Manager - Enterprise")</f>
        <v>Technical Account Manager - Enterprise</v>
      </c>
      <c r="F35" s="10" t="str">
        <f ca="1">IFERROR(__xludf.DUMMYFUNCTION("""COMPUTED_VALUE"""),"EUR")</f>
        <v>EUR</v>
      </c>
      <c r="G35" s="8">
        <f ca="1">IFERROR(__xludf.DUMMYFUNCTION("""COMPUTED_VALUE"""),3229)</f>
        <v>3229</v>
      </c>
      <c r="H35" s="10">
        <f ca="1">IFERROR(__xludf.DUMMYFUNCTION("""COMPUTED_VALUE"""),38748)</f>
        <v>38748</v>
      </c>
    </row>
    <row r="36" spans="1:8">
      <c r="A36" s="8" t="str">
        <f ca="1">IFERROR(__xludf.DUMMYFUNCTION("""COMPUTED_VALUE"""),"AS-IG-AO-CS-TAM-E")</f>
        <v>AS-IG-AO-CS-TAM-E</v>
      </c>
      <c r="B36" s="8" t="str">
        <f ca="1">IFERROR(__xludf.DUMMYFUNCTION("""COMPUTED_VALUE"""),"Quarterly Plan AS-IG-AO-CS-TAM-E")</f>
        <v>Quarterly Plan AS-IG-AO-CS-TAM-E</v>
      </c>
      <c r="C36" s="9" t="str">
        <f ca="1">IFERROR(__xludf.DUMMYFUNCTION("""COMPUTED_VALUE"""),"TAM Enterprise")</f>
        <v>TAM Enterprise</v>
      </c>
      <c r="D36" s="8" t="str">
        <f ca="1">IFERROR(__xludf.DUMMYFUNCTION("""COMPUTED_VALUE"""),"Recurring")</f>
        <v>Recurring</v>
      </c>
      <c r="E36" s="9" t="str">
        <f ca="1">IFERROR(__xludf.DUMMYFUNCTION("""COMPUTED_VALUE"""),"Technical Account Manager - Enterprise")</f>
        <v>Technical Account Manager - Enterprise</v>
      </c>
      <c r="F36" s="10" t="str">
        <f ca="1">IFERROR(__xludf.DUMMYFUNCTION("""COMPUTED_VALUE"""),"EUR")</f>
        <v>EUR</v>
      </c>
      <c r="G36" s="10">
        <f ca="1">IFERROR(__xludf.DUMMYFUNCTION("""COMPUTED_VALUE"""),3229)</f>
        <v>3229</v>
      </c>
      <c r="H36" s="10">
        <f ca="1">IFERROR(__xludf.DUMMYFUNCTION("""COMPUTED_VALUE"""),38748)</f>
        <v>38748</v>
      </c>
    </row>
    <row r="37" spans="1:8">
      <c r="A37" s="8" t="str">
        <f ca="1">IFERROR(__xludf.DUMMYFUNCTION("""COMPUTED_VALUE"""),"AS-IG-AO-CS-TAMP")</f>
        <v>AS-IG-AO-CS-TAMP</v>
      </c>
      <c r="B37" s="8" t="str">
        <f ca="1">IFERROR(__xludf.DUMMYFUNCTION("""COMPUTED_VALUE"""),"Annual Plan AS-IG-AO-CS-TAMP")</f>
        <v>Annual Plan AS-IG-AO-CS-TAMP</v>
      </c>
      <c r="C37" s="9" t="str">
        <f ca="1">IFERROR(__xludf.DUMMYFUNCTION("""COMPUTED_VALUE"""),"TAM Professional")</f>
        <v>TAM Professional</v>
      </c>
      <c r="D37" s="8" t="str">
        <f ca="1">IFERROR(__xludf.DUMMYFUNCTION("""COMPUTED_VALUE"""),"Recurring")</f>
        <v>Recurring</v>
      </c>
      <c r="E37" s="9" t="str">
        <f ca="1">IFERROR(__xludf.DUMMYFUNCTION("""COMPUTED_VALUE"""),"Technical Account Manager (TAM) - Professional")</f>
        <v>Technical Account Manager (TAM) - Professional</v>
      </c>
      <c r="F37" s="8" t="str">
        <f ca="1">IFERROR(__xludf.DUMMYFUNCTION("""COMPUTED_VALUE"""),"EUR")</f>
        <v>EUR</v>
      </c>
      <c r="G37" s="10">
        <f ca="1">IFERROR(__xludf.DUMMYFUNCTION("""COMPUTED_VALUE"""),1614)</f>
        <v>1614</v>
      </c>
      <c r="H37" s="10">
        <f ca="1">IFERROR(__xludf.DUMMYFUNCTION("""COMPUTED_VALUE"""),19368)</f>
        <v>19368</v>
      </c>
    </row>
    <row r="38" spans="1:8">
      <c r="A38" s="8" t="str">
        <f ca="1">IFERROR(__xludf.DUMMYFUNCTION("""COMPUTED_VALUE"""),"AS-IG-AO-CS-TAMP")</f>
        <v>AS-IG-AO-CS-TAMP</v>
      </c>
      <c r="B38" s="8" t="str">
        <f ca="1">IFERROR(__xludf.DUMMYFUNCTION("""COMPUTED_VALUE"""),"Quarterly Plan AS-IG-AO-CS-TAMP")</f>
        <v>Quarterly Plan AS-IG-AO-CS-TAMP</v>
      </c>
      <c r="C38" s="9" t="str">
        <f ca="1">IFERROR(__xludf.DUMMYFUNCTION("""COMPUTED_VALUE"""),"TAM Professional")</f>
        <v>TAM Professional</v>
      </c>
      <c r="D38" s="8" t="str">
        <f ca="1">IFERROR(__xludf.DUMMYFUNCTION("""COMPUTED_VALUE"""),"Recurring")</f>
        <v>Recurring</v>
      </c>
      <c r="E38" s="9" t="str">
        <f ca="1">IFERROR(__xludf.DUMMYFUNCTION("""COMPUTED_VALUE"""),"Technical Account Manager (TAM) - Professional")</f>
        <v>Technical Account Manager (TAM) - Professional</v>
      </c>
      <c r="F38" s="10" t="str">
        <f ca="1">IFERROR(__xludf.DUMMYFUNCTION("""COMPUTED_VALUE"""),"EUR")</f>
        <v>EUR</v>
      </c>
      <c r="G38" s="10">
        <f ca="1">IFERROR(__xludf.DUMMYFUNCTION("""COMPUTED_VALUE"""),1614)</f>
        <v>1614</v>
      </c>
      <c r="H38" s="10">
        <f ca="1">IFERROR(__xludf.DUMMYFUNCTION("""COMPUTED_VALUE"""),19368)</f>
        <v>19368</v>
      </c>
    </row>
    <row r="39" spans="1:8">
      <c r="A39" s="8" t="str">
        <f ca="1">IFERROR(__xludf.DUMMYFUNCTION("""COMPUTED_VALUE"""),"AS-IG-AO-GAD-DEP")</f>
        <v>AS-IG-AO-GAD-DEP</v>
      </c>
      <c r="B39" s="8" t="str">
        <f ca="1">IFERROR(__xludf.DUMMYFUNCTION("""COMPUTED_VALUE"""),"Quarterly Plan AS-IG-AO-GAD-DEP")</f>
        <v>Quarterly Plan AS-IG-AO-GAD-DEP</v>
      </c>
      <c r="C39" s="9" t="str">
        <f ca="1">IFERROR(__xludf.DUMMYFUNCTION("""COMPUTED_VALUE"""),"Gadget Depot")</f>
        <v>Gadget Depot</v>
      </c>
      <c r="D39" s="8" t="str">
        <f ca="1">IFERROR(__xludf.DUMMYFUNCTION("""COMPUTED_VALUE"""),"Recurring")</f>
        <v>Recurring</v>
      </c>
      <c r="E39" s="9" t="str">
        <f ca="1">IFERROR(__xludf.DUMMYFUNCTION("""COMPUTED_VALUE"""),"Gadget Depot")</f>
        <v>Gadget Depot</v>
      </c>
      <c r="F39" s="10" t="str">
        <f ca="1">IFERROR(__xludf.DUMMYFUNCTION("""COMPUTED_VALUE"""),"EUR")</f>
        <v>EUR</v>
      </c>
      <c r="G39" s="10">
        <f ca="1">IFERROR(__xludf.DUMMYFUNCTION("""COMPUTED_VALUE"""),4843)</f>
        <v>4843</v>
      </c>
      <c r="H39" s="10">
        <f ca="1">IFERROR(__xludf.DUMMYFUNCTION("""COMPUTED_VALUE"""),58116)</f>
        <v>58116</v>
      </c>
    </row>
    <row r="40" spans="1:8">
      <c r="A40" s="8" t="str">
        <f ca="1">IFERROR(__xludf.DUMMYFUNCTION("""COMPUTED_VALUE"""),"AS-IG-AO-GAD-DEP")</f>
        <v>AS-IG-AO-GAD-DEP</v>
      </c>
      <c r="B40" s="8" t="str">
        <f ca="1">IFERROR(__xludf.DUMMYFUNCTION("""COMPUTED_VALUE"""),"Annual Plan AS-IG-AO-GAD-DEP")</f>
        <v>Annual Plan AS-IG-AO-GAD-DEP</v>
      </c>
      <c r="C40" s="9" t="str">
        <f ca="1">IFERROR(__xludf.DUMMYFUNCTION("""COMPUTED_VALUE"""),"Gadget Depot")</f>
        <v>Gadget Depot</v>
      </c>
      <c r="D40" s="8" t="str">
        <f ca="1">IFERROR(__xludf.DUMMYFUNCTION("""COMPUTED_VALUE"""),"Recurring")</f>
        <v>Recurring</v>
      </c>
      <c r="E40" s="9" t="str">
        <f ca="1">IFERROR(__xludf.DUMMYFUNCTION("""COMPUTED_VALUE"""),"Gadget Depot")</f>
        <v>Gadget Depot</v>
      </c>
      <c r="F40" s="10" t="str">
        <f ca="1">IFERROR(__xludf.DUMMYFUNCTION("""COMPUTED_VALUE"""),"EUR")</f>
        <v>EUR</v>
      </c>
      <c r="G40" s="10">
        <f ca="1">IFERROR(__xludf.DUMMYFUNCTION("""COMPUTED_VALUE"""),4843)</f>
        <v>4843</v>
      </c>
      <c r="H40" s="10">
        <f ca="1">IFERROR(__xludf.DUMMYFUNCTION("""COMPUTED_VALUE"""),58116)</f>
        <v>58116</v>
      </c>
    </row>
    <row r="41" spans="1:8">
      <c r="A41" s="8" t="str">
        <f ca="1">IFERROR(__xludf.DUMMYFUNCTION("""COMPUTED_VALUE"""),"AS-IG-AO-GROUP-SPACES-500")</f>
        <v>AS-IG-AO-GROUP-SPACES-500</v>
      </c>
      <c r="B41" s="8" t="str">
        <f ca="1">IFERROR(__xludf.DUMMYFUNCTION("""COMPUTED_VALUE"""),"Annual Plan AS-IG-AO-GROUP-SPACES-500")</f>
        <v>Annual Plan AS-IG-AO-GROUP-SPACES-500</v>
      </c>
      <c r="C41" s="9" t="str">
        <f ca="1">IFERROR(__xludf.DUMMYFUNCTION("""COMPUTED_VALUE"""),"Additional Spaces (500)")</f>
        <v>Additional Spaces (500)</v>
      </c>
      <c r="D41" s="8" t="str">
        <f ca="1">IFERROR(__xludf.DUMMYFUNCTION("""COMPUTED_VALUE"""),"Recurring")</f>
        <v>Recurring</v>
      </c>
      <c r="E41" s="9" t="str">
        <f ca="1">IFERROR(__xludf.DUMMYFUNCTION("""COMPUTED_VALUE"""),"Additional Spaces - 500 Bundle")</f>
        <v>Additional Spaces - 500 Bundle</v>
      </c>
      <c r="F41" s="10" t="str">
        <f ca="1">IFERROR(__xludf.DUMMYFUNCTION("""COMPUTED_VALUE"""),"EUR")</f>
        <v>EUR</v>
      </c>
      <c r="G41" s="10">
        <f ca="1">IFERROR(__xludf.DUMMYFUNCTION("""COMPUTED_VALUE"""),242)</f>
        <v>242</v>
      </c>
      <c r="H41" s="10">
        <f ca="1">IFERROR(__xludf.DUMMYFUNCTION("""COMPUTED_VALUE"""),2904)</f>
        <v>2904</v>
      </c>
    </row>
    <row r="42" spans="1:8">
      <c r="A42" s="8" t="str">
        <f ca="1">IFERROR(__xludf.DUMMYFUNCTION("""COMPUTED_VALUE"""),"AS-IG-AO-GROUP-SPACES-500")</f>
        <v>AS-IG-AO-GROUP-SPACES-500</v>
      </c>
      <c r="B42" s="8" t="str">
        <f ca="1">IFERROR(__xludf.DUMMYFUNCTION("""COMPUTED_VALUE"""),"Quarterly Plan AS-IG-AO-GROUP-SPACES-500")</f>
        <v>Quarterly Plan AS-IG-AO-GROUP-SPACES-500</v>
      </c>
      <c r="C42" s="9" t="str">
        <f ca="1">IFERROR(__xludf.DUMMYFUNCTION("""COMPUTED_VALUE"""),"Additional Spaces (500)")</f>
        <v>Additional Spaces (500)</v>
      </c>
      <c r="D42" s="8" t="str">
        <f ca="1">IFERROR(__xludf.DUMMYFUNCTION("""COMPUTED_VALUE"""),"Recurring")</f>
        <v>Recurring</v>
      </c>
      <c r="E42" s="9" t="str">
        <f ca="1">IFERROR(__xludf.DUMMYFUNCTION("""COMPUTED_VALUE"""),"Additional Spaces - 500 Bundle")</f>
        <v>Additional Spaces - 500 Bundle</v>
      </c>
      <c r="F42" s="10" t="str">
        <f ca="1">IFERROR(__xludf.DUMMYFUNCTION("""COMPUTED_VALUE"""),"EUR")</f>
        <v>EUR</v>
      </c>
      <c r="G42" s="10">
        <f ca="1">IFERROR(__xludf.DUMMYFUNCTION("""COMPUTED_VALUE"""),242)</f>
        <v>242</v>
      </c>
      <c r="H42" s="10">
        <f ca="1">IFERROR(__xludf.DUMMYFUNCTION("""COMPUTED_VALUE"""),2904)</f>
        <v>2904</v>
      </c>
    </row>
    <row r="43" spans="1:8">
      <c r="A43" s="8" t="str">
        <f ca="1">IFERROR(__xludf.DUMMYFUNCTION("""COMPUTED_VALUE"""),"AS-IG-AO-IDA-BP")</f>
        <v>AS-IG-AO-IDA-BP</v>
      </c>
      <c r="B43" s="8" t="str">
        <f ca="1">IFERROR(__xludf.DUMMYFUNCTION("""COMPUTED_VALUE"""),"Quarterly Plan AS-IG-AO-IDA-BP")</f>
        <v>Quarterly Plan AS-IG-AO-IDA-BP</v>
      </c>
      <c r="C43" s="9" t="str">
        <f ca="1">IFERROR(__xludf.DUMMYFUNCTION("""COMPUTED_VALUE"""),"IDA Base")</f>
        <v>IDA Base</v>
      </c>
      <c r="D43" s="8" t="str">
        <f ca="1">IFERROR(__xludf.DUMMYFUNCTION("""COMPUTED_VALUE"""),"Recurring")</f>
        <v>Recurring</v>
      </c>
      <c r="E43" s="9" t="str">
        <f ca="1">IFERROR(__xludf.DUMMYFUNCTION("""COMPUTED_VALUE"""),"Igloo Igloo Digital Assistant - Base Package")</f>
        <v>Igloo Igloo Digital Assistant - Base Package</v>
      </c>
      <c r="F43" s="10" t="str">
        <f ca="1">IFERROR(__xludf.DUMMYFUNCTION("""COMPUTED_VALUE"""),"EUR")</f>
        <v>EUR</v>
      </c>
      <c r="G43" s="10">
        <f ca="1">IFERROR(__xludf.DUMMYFUNCTION("""COMPUTED_VALUE"""),0.48)</f>
        <v>0.48</v>
      </c>
      <c r="H43" s="10">
        <f ca="1">IFERROR(__xludf.DUMMYFUNCTION("""COMPUTED_VALUE"""),5.76)</f>
        <v>5.76</v>
      </c>
    </row>
    <row r="44" spans="1:8">
      <c r="A44" s="8" t="str">
        <f ca="1">IFERROR(__xludf.DUMMYFUNCTION("""COMPUTED_VALUE"""),"AS-IG-AO-IDA-BP")</f>
        <v>AS-IG-AO-IDA-BP</v>
      </c>
      <c r="B44" s="8" t="str">
        <f ca="1">IFERROR(__xludf.DUMMYFUNCTION("""COMPUTED_VALUE"""),"Annual Plan AS-IG-AO-IDA-BP")</f>
        <v>Annual Plan AS-IG-AO-IDA-BP</v>
      </c>
      <c r="C44" s="9" t="str">
        <f ca="1">IFERROR(__xludf.DUMMYFUNCTION("""COMPUTED_VALUE"""),"IDA Base")</f>
        <v>IDA Base</v>
      </c>
      <c r="D44" s="8" t="str">
        <f ca="1">IFERROR(__xludf.DUMMYFUNCTION("""COMPUTED_VALUE"""),"Recurring")</f>
        <v>Recurring</v>
      </c>
      <c r="E44" s="9" t="str">
        <f ca="1">IFERROR(__xludf.DUMMYFUNCTION("""COMPUTED_VALUE"""),"Igloo Igloo Digital Assistant - Base Package")</f>
        <v>Igloo Igloo Digital Assistant - Base Package</v>
      </c>
      <c r="F44" s="10" t="str">
        <f ca="1">IFERROR(__xludf.DUMMYFUNCTION("""COMPUTED_VALUE"""),"EUR")</f>
        <v>EUR</v>
      </c>
      <c r="G44" s="8">
        <f ca="1">IFERROR(__xludf.DUMMYFUNCTION("""COMPUTED_VALUE"""),0.48)</f>
        <v>0.48</v>
      </c>
      <c r="H44" s="10">
        <f ca="1">IFERROR(__xludf.DUMMYFUNCTION("""COMPUTED_VALUE"""),5.76)</f>
        <v>5.76</v>
      </c>
    </row>
    <row r="45" spans="1:8">
      <c r="A45" s="8" t="str">
        <f ca="1">IFERROR(__xludf.DUMMYFUNCTION("""COMPUTED_VALUE"""),"AS-IG-AO-IDA-FL-HRIS")</f>
        <v>AS-IG-AO-IDA-FL-HRIS</v>
      </c>
      <c r="B45" s="8" t="str">
        <f ca="1">IFERROR(__xludf.DUMMYFUNCTION("""COMPUTED_VALUE"""),"Quarterly Plan AS-IG-AO-IDA-FL-HRIS")</f>
        <v>Quarterly Plan AS-IG-AO-IDA-FL-HRIS</v>
      </c>
      <c r="C45" s="9" t="str">
        <f ca="1">IFERROR(__xludf.DUMMYFUNCTION("""COMPUTED_VALUE"""),"Flex IDA HRIS")</f>
        <v>Flex IDA HRIS</v>
      </c>
      <c r="D45" s="8" t="str">
        <f ca="1">IFERROR(__xludf.DUMMYFUNCTION("""COMPUTED_VALUE"""),"Recurring")</f>
        <v>Recurring</v>
      </c>
      <c r="E45" s="9" t="str">
        <f ca="1">IFERROR(__xludf.DUMMYFUNCTION("""COMPUTED_VALUE"""),"Igloo Flex Digital Assistant - HRIS Package")</f>
        <v>Igloo Flex Digital Assistant - HRIS Package</v>
      </c>
      <c r="F45" s="10" t="str">
        <f ca="1">IFERROR(__xludf.DUMMYFUNCTION("""COMPUTED_VALUE"""),"EUR")</f>
        <v>EUR</v>
      </c>
      <c r="G45" s="8">
        <f ca="1">IFERROR(__xludf.DUMMYFUNCTION("""COMPUTED_VALUE"""),0.71)</f>
        <v>0.71</v>
      </c>
      <c r="H45" s="10">
        <f ca="1">IFERROR(__xludf.DUMMYFUNCTION("""COMPUTED_VALUE"""),8.52)</f>
        <v>8.52</v>
      </c>
    </row>
    <row r="46" spans="1:8">
      <c r="A46" s="8" t="str">
        <f ca="1">IFERROR(__xludf.DUMMYFUNCTION("""COMPUTED_VALUE"""),"AS-IG-AO-IDA-FL-HRIS")</f>
        <v>AS-IG-AO-IDA-FL-HRIS</v>
      </c>
      <c r="B46" s="8" t="str">
        <f ca="1">IFERROR(__xludf.DUMMYFUNCTION("""COMPUTED_VALUE"""),"Annual Plan AS-IG-AO-IDA-FL-HRIS")</f>
        <v>Annual Plan AS-IG-AO-IDA-FL-HRIS</v>
      </c>
      <c r="C46" s="9" t="str">
        <f ca="1">IFERROR(__xludf.DUMMYFUNCTION("""COMPUTED_VALUE"""),"Flex IDA HRIS")</f>
        <v>Flex IDA HRIS</v>
      </c>
      <c r="D46" s="8" t="str">
        <f ca="1">IFERROR(__xludf.DUMMYFUNCTION("""COMPUTED_VALUE"""),"Recurring")</f>
        <v>Recurring</v>
      </c>
      <c r="E46" s="9" t="str">
        <f ca="1">IFERROR(__xludf.DUMMYFUNCTION("""COMPUTED_VALUE"""),"Igloo Flex Digital Assistant - HRIS Package")</f>
        <v>Igloo Flex Digital Assistant - HRIS Package</v>
      </c>
      <c r="F46" s="10" t="str">
        <f ca="1">IFERROR(__xludf.DUMMYFUNCTION("""COMPUTED_VALUE"""),"EUR")</f>
        <v>EUR</v>
      </c>
      <c r="G46" s="8">
        <f ca="1">IFERROR(__xludf.DUMMYFUNCTION("""COMPUTED_VALUE"""),0.71)</f>
        <v>0.71</v>
      </c>
      <c r="H46" s="10">
        <f ca="1">IFERROR(__xludf.DUMMYFUNCTION("""COMPUTED_VALUE"""),8.52)</f>
        <v>8.52</v>
      </c>
    </row>
    <row r="47" spans="1:8">
      <c r="A47" s="8" t="str">
        <f ca="1">IFERROR(__xludf.DUMMYFUNCTION("""COMPUTED_VALUE"""),"AS-IG-AO-IDA-HRIS")</f>
        <v>AS-IG-AO-IDA-HRIS</v>
      </c>
      <c r="B47" s="8" t="str">
        <f ca="1">IFERROR(__xludf.DUMMYFUNCTION("""COMPUTED_VALUE"""),"Annual Plan AS-IG-AO-IDA-HRIS")</f>
        <v>Annual Plan AS-IG-AO-IDA-HRIS</v>
      </c>
      <c r="C47" s="9" t="str">
        <f ca="1">IFERROR(__xludf.DUMMYFUNCTION("""COMPUTED_VALUE"""),"IDA HRIS")</f>
        <v>IDA HRIS</v>
      </c>
      <c r="D47" s="8" t="str">
        <f ca="1">IFERROR(__xludf.DUMMYFUNCTION("""COMPUTED_VALUE"""),"Recurring")</f>
        <v>Recurring</v>
      </c>
      <c r="E47" s="9" t="str">
        <f ca="1">IFERROR(__xludf.DUMMYFUNCTION("""COMPUTED_VALUE"""),"Igloo Igloo Digital Assistant - HRIS Package")</f>
        <v>Igloo Igloo Digital Assistant - HRIS Package</v>
      </c>
      <c r="F47" s="10" t="str">
        <f ca="1">IFERROR(__xludf.DUMMYFUNCTION("""COMPUTED_VALUE"""),"EUR")</f>
        <v>EUR</v>
      </c>
      <c r="G47" s="10">
        <f ca="1">IFERROR(__xludf.DUMMYFUNCTION("""COMPUTED_VALUE"""),0.08)</f>
        <v>0.08</v>
      </c>
      <c r="H47" s="10">
        <f ca="1">IFERROR(__xludf.DUMMYFUNCTION("""COMPUTED_VALUE"""),0.96)</f>
        <v>0.96</v>
      </c>
    </row>
    <row r="48" spans="1:8">
      <c r="A48" s="8" t="str">
        <f ca="1">IFERROR(__xludf.DUMMYFUNCTION("""COMPUTED_VALUE"""),"AS-IG-AO-IDA-HRIS")</f>
        <v>AS-IG-AO-IDA-HRIS</v>
      </c>
      <c r="B48" s="8" t="str">
        <f ca="1">IFERROR(__xludf.DUMMYFUNCTION("""COMPUTED_VALUE"""),"Quarterly Plan AS-IG-AO-IDA-HRIS")</f>
        <v>Quarterly Plan AS-IG-AO-IDA-HRIS</v>
      </c>
      <c r="C48" s="9" t="str">
        <f ca="1">IFERROR(__xludf.DUMMYFUNCTION("""COMPUTED_VALUE"""),"IDA HRIS")</f>
        <v>IDA HRIS</v>
      </c>
      <c r="D48" s="8" t="str">
        <f ca="1">IFERROR(__xludf.DUMMYFUNCTION("""COMPUTED_VALUE"""),"Recurring")</f>
        <v>Recurring</v>
      </c>
      <c r="E48" s="9" t="str">
        <f ca="1">IFERROR(__xludf.DUMMYFUNCTION("""COMPUTED_VALUE"""),"Igloo Igloo Digital Assistant - HRIS Package")</f>
        <v>Igloo Igloo Digital Assistant - HRIS Package</v>
      </c>
      <c r="F48" s="10" t="str">
        <f ca="1">IFERROR(__xludf.DUMMYFUNCTION("""COMPUTED_VALUE"""),"EUR")</f>
        <v>EUR</v>
      </c>
      <c r="G48" s="10">
        <f ca="1">IFERROR(__xludf.DUMMYFUNCTION("""COMPUTED_VALUE"""),0.08)</f>
        <v>0.08</v>
      </c>
      <c r="H48" s="10">
        <f ca="1">IFERROR(__xludf.DUMMYFUNCTION("""COMPUTED_VALUE"""),0.96)</f>
        <v>0.96</v>
      </c>
    </row>
    <row r="49" spans="1:8">
      <c r="A49" s="8" t="str">
        <f ca="1">IFERROR(__xludf.DUMMYFUNCTION("""COMPUTED_VALUE"""),"AS-IG-AO-IDS-SL-CM")</f>
        <v>AS-IG-AO-IDS-SL-CM</v>
      </c>
      <c r="B49" s="8" t="str">
        <f ca="1">IFERROR(__xludf.DUMMYFUNCTION("""COMPUTED_VALUE"""),"Quarterly Plan AS-IG-AO-IDS-SL-CM")</f>
        <v>Quarterly Plan AS-IG-AO-IDS-SL-CM</v>
      </c>
      <c r="C49" s="9" t="str">
        <f ca="1">IFERROR(__xludf.DUMMYFUNCTION("""COMPUTED_VALUE"""),"IDS Content Manager")</f>
        <v>IDS Content Manager</v>
      </c>
      <c r="D49" s="8" t="str">
        <f ca="1">IFERROR(__xludf.DUMMYFUNCTION("""COMPUTED_VALUE"""),"Recurring")</f>
        <v>Recurring</v>
      </c>
      <c r="E49" s="9" t="str">
        <f ca="1">IFERROR(__xludf.DUMMYFUNCTION("""COMPUTED_VALUE"""),"Igloo Digital Signage Software License Content Manager")</f>
        <v>Igloo Digital Signage Software License Content Manager</v>
      </c>
      <c r="F49" s="10" t="str">
        <f ca="1">IFERROR(__xludf.DUMMYFUNCTION("""COMPUTED_VALUE"""),"EUR")</f>
        <v>EUR</v>
      </c>
      <c r="G49" s="10">
        <f ca="1">IFERROR(__xludf.DUMMYFUNCTION("""COMPUTED_VALUE"""),969)</f>
        <v>969</v>
      </c>
      <c r="H49" s="10">
        <f ca="1">IFERROR(__xludf.DUMMYFUNCTION("""COMPUTED_VALUE"""),11628)</f>
        <v>11628</v>
      </c>
    </row>
    <row r="50" spans="1:8">
      <c r="A50" s="8" t="str">
        <f ca="1">IFERROR(__xludf.DUMMYFUNCTION("""COMPUTED_VALUE"""),"AS-IG-AO-IDS-SL-CM")</f>
        <v>AS-IG-AO-IDS-SL-CM</v>
      </c>
      <c r="B50" s="8" t="str">
        <f ca="1">IFERROR(__xludf.DUMMYFUNCTION("""COMPUTED_VALUE"""),"Annual Plan AS-IG-AO-IDS-SL-CM")</f>
        <v>Annual Plan AS-IG-AO-IDS-SL-CM</v>
      </c>
      <c r="C50" s="9" t="str">
        <f ca="1">IFERROR(__xludf.DUMMYFUNCTION("""COMPUTED_VALUE"""),"IDS Content Manager")</f>
        <v>IDS Content Manager</v>
      </c>
      <c r="D50" s="8" t="str">
        <f ca="1">IFERROR(__xludf.DUMMYFUNCTION("""COMPUTED_VALUE"""),"Recurring")</f>
        <v>Recurring</v>
      </c>
      <c r="E50" s="9" t="str">
        <f ca="1">IFERROR(__xludf.DUMMYFUNCTION("""COMPUTED_VALUE"""),"Igloo Digital Signage Software License Content Manager")</f>
        <v>Igloo Digital Signage Software License Content Manager</v>
      </c>
      <c r="F50" s="10" t="str">
        <f ca="1">IFERROR(__xludf.DUMMYFUNCTION("""COMPUTED_VALUE"""),"EUR")</f>
        <v>EUR</v>
      </c>
      <c r="G50" s="10">
        <f ca="1">IFERROR(__xludf.DUMMYFUNCTION("""COMPUTED_VALUE"""),969)</f>
        <v>969</v>
      </c>
      <c r="H50" s="10">
        <f ca="1">IFERROR(__xludf.DUMMYFUNCTION("""COMPUTED_VALUE"""),11628)</f>
        <v>11628</v>
      </c>
    </row>
    <row r="51" spans="1:8">
      <c r="A51" s="8" t="str">
        <f ca="1">IFERROR(__xludf.DUMMYFUNCTION("""COMPUTED_VALUE"""),"AS-IG-AO-IDS-SLF-CM")</f>
        <v>AS-IG-AO-IDS-SLF-CM</v>
      </c>
      <c r="B51" s="8" t="str">
        <f ca="1">IFERROR(__xludf.DUMMYFUNCTION("""COMPUTED_VALUE"""),"Quarterly Plan AS-IG-AO-IDS-SLF-CM")</f>
        <v>Quarterly Plan AS-IG-AO-IDS-SLF-CM</v>
      </c>
      <c r="C51" s="9" t="str">
        <f ca="1">IFERROR(__xludf.DUMMYFUNCTION("""COMPUTED_VALUE"""),"Flex IDS Content Manager")</f>
        <v>Flex IDS Content Manager</v>
      </c>
      <c r="D51" s="8" t="str">
        <f ca="1">IFERROR(__xludf.DUMMYFUNCTION("""COMPUTED_VALUE"""),"Recurring")</f>
        <v>Recurring</v>
      </c>
      <c r="E51" s="9" t="str">
        <f ca="1">IFERROR(__xludf.DUMMYFUNCTION("""COMPUTED_VALUE"""),"Igloo Flex Digital Signage Software License Content Manager")</f>
        <v>Igloo Flex Digital Signage Software License Content Manager</v>
      </c>
      <c r="F51" s="10" t="str">
        <f ca="1">IFERROR(__xludf.DUMMYFUNCTION("""COMPUTED_VALUE"""),"EUR")</f>
        <v>EUR</v>
      </c>
      <c r="G51" s="10">
        <f ca="1">IFERROR(__xludf.DUMMYFUNCTION("""COMPUTED_VALUE"""),80.72)</f>
        <v>80.72</v>
      </c>
      <c r="H51" s="10">
        <f ca="1">IFERROR(__xludf.DUMMYFUNCTION("""COMPUTED_VALUE"""),968.64)</f>
        <v>968.64</v>
      </c>
    </row>
    <row r="52" spans="1:8">
      <c r="A52" s="8" t="str">
        <f ca="1">IFERROR(__xludf.DUMMYFUNCTION("""COMPUTED_VALUE"""),"AS-IG-AO-IDS-SLF-CM")</f>
        <v>AS-IG-AO-IDS-SLF-CM</v>
      </c>
      <c r="B52" s="8" t="str">
        <f ca="1">IFERROR(__xludf.DUMMYFUNCTION("""COMPUTED_VALUE"""),"Annual Plan AS-IG-AO-IDS-SLF-CM")</f>
        <v>Annual Plan AS-IG-AO-IDS-SLF-CM</v>
      </c>
      <c r="C52" s="9" t="str">
        <f ca="1">IFERROR(__xludf.DUMMYFUNCTION("""COMPUTED_VALUE"""),"Flex IDS Content Manager")</f>
        <v>Flex IDS Content Manager</v>
      </c>
      <c r="D52" s="8" t="str">
        <f ca="1">IFERROR(__xludf.DUMMYFUNCTION("""COMPUTED_VALUE"""),"Recurring")</f>
        <v>Recurring</v>
      </c>
      <c r="E52" s="9" t="str">
        <f ca="1">IFERROR(__xludf.DUMMYFUNCTION("""COMPUTED_VALUE"""),"Igloo Flex Digital Signage Software License Content Manager")</f>
        <v>Igloo Flex Digital Signage Software License Content Manager</v>
      </c>
      <c r="F52" s="10" t="str">
        <f ca="1">IFERROR(__xludf.DUMMYFUNCTION("""COMPUTED_VALUE"""),"EUR")</f>
        <v>EUR</v>
      </c>
      <c r="G52" s="10">
        <f ca="1">IFERROR(__xludf.DUMMYFUNCTION("""COMPUTED_VALUE"""),80.72)</f>
        <v>80.72</v>
      </c>
      <c r="H52" s="10">
        <f ca="1">IFERROR(__xludf.DUMMYFUNCTION("""COMPUTED_VALUE"""),968.64)</f>
        <v>968.64</v>
      </c>
    </row>
    <row r="53" spans="1:8">
      <c r="A53" s="8" t="str">
        <f ca="1">IFERROR(__xludf.DUMMYFUNCTION("""COMPUTED_VALUE"""),"AS-IG-AO-IDS-SLF-SPO")</f>
        <v>AS-IG-AO-IDS-SLF-SPO</v>
      </c>
      <c r="B53" s="8" t="str">
        <f ca="1">IFERROR(__xludf.DUMMYFUNCTION("""COMPUTED_VALUE"""),"Annual Plan AS-IG-AO-IDS-SLF-SPO")</f>
        <v>Annual Plan AS-IG-AO-IDS-SLF-SPO</v>
      </c>
      <c r="C53" s="9" t="str">
        <f ca="1">IFERROR(__xludf.DUMMYFUNCTION("""COMPUTED_VALUE"""),"Flex IDS Player License")</f>
        <v>Flex IDS Player License</v>
      </c>
      <c r="D53" s="8" t="str">
        <f ca="1">IFERROR(__xludf.DUMMYFUNCTION("""COMPUTED_VALUE"""),"Recurring")</f>
        <v>Recurring</v>
      </c>
      <c r="E53" s="9" t="str">
        <f ca="1">IFERROR(__xludf.DUMMYFUNCTION("""COMPUTED_VALUE"""),"Igloo Flex Digital Signage Software License Scala Player One")</f>
        <v>Igloo Flex Digital Signage Software License Scala Player One</v>
      </c>
      <c r="F53" s="10" t="str">
        <f ca="1">IFERROR(__xludf.DUMMYFUNCTION("""COMPUTED_VALUE"""),"EUR")</f>
        <v>EUR</v>
      </c>
      <c r="G53" s="10">
        <f ca="1">IFERROR(__xludf.DUMMYFUNCTION("""COMPUTED_VALUE"""),24.22)</f>
        <v>24.22</v>
      </c>
      <c r="H53" s="10">
        <f ca="1">IFERROR(__xludf.DUMMYFUNCTION("""COMPUTED_VALUE"""),290.64)</f>
        <v>290.64</v>
      </c>
    </row>
    <row r="54" spans="1:8">
      <c r="A54" s="8" t="str">
        <f ca="1">IFERROR(__xludf.DUMMYFUNCTION("""COMPUTED_VALUE"""),"AS-IG-AO-IDS-SLF-SPO")</f>
        <v>AS-IG-AO-IDS-SLF-SPO</v>
      </c>
      <c r="B54" s="8" t="str">
        <f ca="1">IFERROR(__xludf.DUMMYFUNCTION("""COMPUTED_VALUE"""),"Quarterly Plan AS-IG-AO-IDS-SLF-SPO")</f>
        <v>Quarterly Plan AS-IG-AO-IDS-SLF-SPO</v>
      </c>
      <c r="C54" s="9" t="str">
        <f ca="1">IFERROR(__xludf.DUMMYFUNCTION("""COMPUTED_VALUE"""),"Flex IDS Player License")</f>
        <v>Flex IDS Player License</v>
      </c>
      <c r="D54" s="8" t="str">
        <f ca="1">IFERROR(__xludf.DUMMYFUNCTION("""COMPUTED_VALUE"""),"Recurring")</f>
        <v>Recurring</v>
      </c>
      <c r="E54" s="9" t="str">
        <f ca="1">IFERROR(__xludf.DUMMYFUNCTION("""COMPUTED_VALUE"""),"Igloo Flex Digital Signage Software License Scala Player One")</f>
        <v>Igloo Flex Digital Signage Software License Scala Player One</v>
      </c>
      <c r="F54" s="10" t="str">
        <f ca="1">IFERROR(__xludf.DUMMYFUNCTION("""COMPUTED_VALUE"""),"EUR")</f>
        <v>EUR</v>
      </c>
      <c r="G54" s="10">
        <f ca="1">IFERROR(__xludf.DUMMYFUNCTION("""COMPUTED_VALUE"""),24.22)</f>
        <v>24.22</v>
      </c>
      <c r="H54" s="10">
        <f ca="1">IFERROR(__xludf.DUMMYFUNCTION("""COMPUTED_VALUE"""),290.64)</f>
        <v>290.64</v>
      </c>
    </row>
    <row r="55" spans="1:8">
      <c r="A55" s="8" t="str">
        <f ca="1">IFERROR(__xludf.DUMMYFUNCTION("""COMPUTED_VALUE"""),"AS-IG-AO-IDS-SL-SPO")</f>
        <v>AS-IG-AO-IDS-SL-SPO</v>
      </c>
      <c r="B55" s="8" t="str">
        <f ca="1">IFERROR(__xludf.DUMMYFUNCTION("""COMPUTED_VALUE"""),"Quarterly Plan AS-IG-AO-IDS-SL-SPO")</f>
        <v>Quarterly Plan AS-IG-AO-IDS-SL-SPO</v>
      </c>
      <c r="C55" s="9" t="str">
        <f ca="1">IFERROR(__xludf.DUMMYFUNCTION("""COMPUTED_VALUE"""),"IDS Player License")</f>
        <v>IDS Player License</v>
      </c>
      <c r="D55" s="8" t="str">
        <f ca="1">IFERROR(__xludf.DUMMYFUNCTION("""COMPUTED_VALUE"""),"Recurring")</f>
        <v>Recurring</v>
      </c>
      <c r="E55" s="9" t="str">
        <f ca="1">IFERROR(__xludf.DUMMYFUNCTION("""COMPUTED_VALUE"""),"Igloo Digital Signage Software License Scala Player One")</f>
        <v>Igloo Digital Signage Software License Scala Player One</v>
      </c>
      <c r="F55" s="10" t="str">
        <f ca="1">IFERROR(__xludf.DUMMYFUNCTION("""COMPUTED_VALUE"""),"EUR")</f>
        <v>EUR</v>
      </c>
      <c r="G55" s="10">
        <f ca="1">IFERROR(__xludf.DUMMYFUNCTION("""COMPUTED_VALUE"""),291)</f>
        <v>291</v>
      </c>
      <c r="H55" s="10">
        <f ca="1">IFERROR(__xludf.DUMMYFUNCTION("""COMPUTED_VALUE"""),3492)</f>
        <v>3492</v>
      </c>
    </row>
    <row r="56" spans="1:8">
      <c r="A56" s="8" t="str">
        <f ca="1">IFERROR(__xludf.DUMMYFUNCTION("""COMPUTED_VALUE"""),"AS-IG-AO-IDS-SL-SPO")</f>
        <v>AS-IG-AO-IDS-SL-SPO</v>
      </c>
      <c r="B56" s="8" t="str">
        <f ca="1">IFERROR(__xludf.DUMMYFUNCTION("""COMPUTED_VALUE"""),"Annual Plan AS-IG-AO-IDS-SL-SPO")</f>
        <v>Annual Plan AS-IG-AO-IDS-SL-SPO</v>
      </c>
      <c r="C56" s="9" t="str">
        <f ca="1">IFERROR(__xludf.DUMMYFUNCTION("""COMPUTED_VALUE"""),"IDS Player License")</f>
        <v>IDS Player License</v>
      </c>
      <c r="D56" s="8" t="str">
        <f ca="1">IFERROR(__xludf.DUMMYFUNCTION("""COMPUTED_VALUE"""),"Recurring")</f>
        <v>Recurring</v>
      </c>
      <c r="E56" s="9" t="str">
        <f ca="1">IFERROR(__xludf.DUMMYFUNCTION("""COMPUTED_VALUE"""),"Igloo Digital Signage Software License Scala Player One")</f>
        <v>Igloo Digital Signage Software License Scala Player One</v>
      </c>
      <c r="F56" s="10" t="str">
        <f ca="1">IFERROR(__xludf.DUMMYFUNCTION("""COMPUTED_VALUE"""),"EUR")</f>
        <v>EUR</v>
      </c>
      <c r="G56" s="10">
        <f ca="1">IFERROR(__xludf.DUMMYFUNCTION("""COMPUTED_VALUE"""),291)</f>
        <v>291</v>
      </c>
      <c r="H56" s="10">
        <f ca="1">IFERROR(__xludf.DUMMYFUNCTION("""COMPUTED_VALUE"""),3492)</f>
        <v>3492</v>
      </c>
    </row>
    <row r="57" spans="1:8">
      <c r="A57" s="8" t="str">
        <f ca="1">IFERROR(__xludf.DUMMYFUNCTION("""COMPUTED_VALUE"""),"AS-IG-AO-IMBE-1")</f>
        <v>AS-IG-AO-IMBE-1</v>
      </c>
      <c r="B57" s="8" t="str">
        <f ca="1">IFERROR(__xludf.DUMMYFUNCTION("""COMPUTED_VALUE"""),"Quarterly Plan AS-IG-AO-IMBE-1")</f>
        <v>Quarterly Plan AS-IG-AO-IMBE-1</v>
      </c>
      <c r="C57" s="9" t="str">
        <f ca="1">IFERROR(__xludf.DUMMYFUNCTION("""COMPUTED_VALUE"""),"Branded Mobile")</f>
        <v>Branded Mobile</v>
      </c>
      <c r="D57" s="8" t="str">
        <f ca="1">IFERROR(__xludf.DUMMYFUNCTION("""COMPUTED_VALUE"""),"Recurring")</f>
        <v>Recurring</v>
      </c>
      <c r="E57" s="9" t="str">
        <f ca="1">IFERROR(__xludf.DUMMYFUNCTION("""COMPUTED_VALUE"""),"Igloo Mobile Branded Edition - Pkg 1")</f>
        <v>Igloo Mobile Branded Edition - Pkg 1</v>
      </c>
      <c r="F57" s="10" t="str">
        <f ca="1">IFERROR(__xludf.DUMMYFUNCTION("""COMPUTED_VALUE"""),"EUR")</f>
        <v>EUR</v>
      </c>
      <c r="G57" s="10">
        <f ca="1">IFERROR(__xludf.DUMMYFUNCTION("""COMPUTED_VALUE"""),807)</f>
        <v>807</v>
      </c>
      <c r="H57" s="10">
        <f ca="1">IFERROR(__xludf.DUMMYFUNCTION("""COMPUTED_VALUE"""),9684)</f>
        <v>9684</v>
      </c>
    </row>
    <row r="58" spans="1:8">
      <c r="A58" s="8" t="str">
        <f ca="1">IFERROR(__xludf.DUMMYFUNCTION("""COMPUTED_VALUE"""),"AS-IG-AO-IMBE-1")</f>
        <v>AS-IG-AO-IMBE-1</v>
      </c>
      <c r="B58" s="8" t="str">
        <f ca="1">IFERROR(__xludf.DUMMYFUNCTION("""COMPUTED_VALUE"""),"Annual Plan AS-IG-AO-IMBE-1")</f>
        <v>Annual Plan AS-IG-AO-IMBE-1</v>
      </c>
      <c r="C58" s="9" t="str">
        <f ca="1">IFERROR(__xludf.DUMMYFUNCTION("""COMPUTED_VALUE"""),"Branded Mobile")</f>
        <v>Branded Mobile</v>
      </c>
      <c r="D58" s="8" t="str">
        <f ca="1">IFERROR(__xludf.DUMMYFUNCTION("""COMPUTED_VALUE"""),"Recurring")</f>
        <v>Recurring</v>
      </c>
      <c r="E58" s="9" t="str">
        <f ca="1">IFERROR(__xludf.DUMMYFUNCTION("""COMPUTED_VALUE"""),"Igloo Mobile Branded Edition - Pkg 1")</f>
        <v>Igloo Mobile Branded Edition - Pkg 1</v>
      </c>
      <c r="F58" s="10" t="str">
        <f ca="1">IFERROR(__xludf.DUMMYFUNCTION("""COMPUTED_VALUE"""),"EUR")</f>
        <v>EUR</v>
      </c>
      <c r="G58" s="10">
        <f ca="1">IFERROR(__xludf.DUMMYFUNCTION("""COMPUTED_VALUE"""),807)</f>
        <v>807</v>
      </c>
      <c r="H58" s="10">
        <f ca="1">IFERROR(__xludf.DUMMYFUNCTION("""COMPUTED_VALUE"""),9684)</f>
        <v>9684</v>
      </c>
    </row>
    <row r="59" spans="1:8">
      <c r="A59" s="8" t="str">
        <f ca="1">IFERROR(__xludf.DUMMYFUNCTION("""COMPUTED_VALUE"""),"AS-IG-AO-IMBE-2")</f>
        <v>AS-IG-AO-IMBE-2</v>
      </c>
      <c r="B59" s="8" t="str">
        <f ca="1">IFERROR(__xludf.DUMMYFUNCTION("""COMPUTED_VALUE"""),"Quarterly Plan AS-IG-AO-IMBE-2")</f>
        <v>Quarterly Plan AS-IG-AO-IMBE-2</v>
      </c>
      <c r="C59" s="9" t="str">
        <f ca="1">IFERROR(__xludf.DUMMYFUNCTION("""COMPUTED_VALUE"""),"Branded Mobile")</f>
        <v>Branded Mobile</v>
      </c>
      <c r="D59" s="8" t="str">
        <f ca="1">IFERROR(__xludf.DUMMYFUNCTION("""COMPUTED_VALUE"""),"Recurring")</f>
        <v>Recurring</v>
      </c>
      <c r="E59" s="9" t="str">
        <f ca="1">IFERROR(__xludf.DUMMYFUNCTION("""COMPUTED_VALUE"""),"Igloo Mobile Branded Edition - Pkg 2")</f>
        <v>Igloo Mobile Branded Edition - Pkg 2</v>
      </c>
      <c r="F59" s="10" t="str">
        <f ca="1">IFERROR(__xludf.DUMMYFUNCTION("""COMPUTED_VALUE"""),"EUR")</f>
        <v>EUR</v>
      </c>
      <c r="G59" s="8">
        <f ca="1">IFERROR(__xludf.DUMMYFUNCTION("""COMPUTED_VALUE"""),1211)</f>
        <v>1211</v>
      </c>
      <c r="H59" s="10">
        <f ca="1">IFERROR(__xludf.DUMMYFUNCTION("""COMPUTED_VALUE"""),14532)</f>
        <v>14532</v>
      </c>
    </row>
    <row r="60" spans="1:8">
      <c r="A60" s="8" t="str">
        <f ca="1">IFERROR(__xludf.DUMMYFUNCTION("""COMPUTED_VALUE"""),"AS-IG-AO-IMBE-2")</f>
        <v>AS-IG-AO-IMBE-2</v>
      </c>
      <c r="B60" s="8" t="str">
        <f ca="1">IFERROR(__xludf.DUMMYFUNCTION("""COMPUTED_VALUE"""),"Annual Plan AS-IG-AO-IMBE-2")</f>
        <v>Annual Plan AS-IG-AO-IMBE-2</v>
      </c>
      <c r="C60" s="9" t="str">
        <f ca="1">IFERROR(__xludf.DUMMYFUNCTION("""COMPUTED_VALUE"""),"Branded Mobile")</f>
        <v>Branded Mobile</v>
      </c>
      <c r="D60" s="8" t="str">
        <f ca="1">IFERROR(__xludf.DUMMYFUNCTION("""COMPUTED_VALUE"""),"Recurring")</f>
        <v>Recurring</v>
      </c>
      <c r="E60" s="9" t="str">
        <f ca="1">IFERROR(__xludf.DUMMYFUNCTION("""COMPUTED_VALUE"""),"Igloo Mobile Branded Edition - Pkg 2")</f>
        <v>Igloo Mobile Branded Edition - Pkg 2</v>
      </c>
      <c r="F60" s="10" t="str">
        <f ca="1">IFERROR(__xludf.DUMMYFUNCTION("""COMPUTED_VALUE"""),"EUR")</f>
        <v>EUR</v>
      </c>
      <c r="G60" s="8">
        <f ca="1">IFERROR(__xludf.DUMMYFUNCTION("""COMPUTED_VALUE"""),1211)</f>
        <v>1211</v>
      </c>
      <c r="H60" s="10">
        <f ca="1">IFERROR(__xludf.DUMMYFUNCTION("""COMPUTED_VALUE"""),14532)</f>
        <v>14532</v>
      </c>
    </row>
    <row r="61" spans="1:8">
      <c r="A61" s="8" t="str">
        <f ca="1">IFERROR(__xludf.DUMMYFUNCTION("""COMPUTED_VALUE"""),"AS-IG-AO-IMBE-3")</f>
        <v>AS-IG-AO-IMBE-3</v>
      </c>
      <c r="B61" s="8" t="str">
        <f ca="1">IFERROR(__xludf.DUMMYFUNCTION("""COMPUTED_VALUE"""),"Quarterly Plan AS-IG-AO-IMBE-3")</f>
        <v>Quarterly Plan AS-IG-AO-IMBE-3</v>
      </c>
      <c r="C61" s="9" t="str">
        <f ca="1">IFERROR(__xludf.DUMMYFUNCTION("""COMPUTED_VALUE"""),"Branded Mobile")</f>
        <v>Branded Mobile</v>
      </c>
      <c r="D61" s="8" t="str">
        <f ca="1">IFERROR(__xludf.DUMMYFUNCTION("""COMPUTED_VALUE"""),"Recurring")</f>
        <v>Recurring</v>
      </c>
      <c r="E61" s="9" t="str">
        <f ca="1">IFERROR(__xludf.DUMMYFUNCTION("""COMPUTED_VALUE"""),"Igloo Mobile Branded Edition - Pkg 3")</f>
        <v>Igloo Mobile Branded Edition - Pkg 3</v>
      </c>
      <c r="F61" s="10" t="str">
        <f ca="1">IFERROR(__xludf.DUMMYFUNCTION("""COMPUTED_VALUE"""),"EUR")</f>
        <v>EUR</v>
      </c>
      <c r="G61" s="8">
        <f ca="1">IFERROR(__xludf.DUMMYFUNCTION("""COMPUTED_VALUE"""),2018)</f>
        <v>2018</v>
      </c>
      <c r="H61" s="10">
        <f ca="1">IFERROR(__xludf.DUMMYFUNCTION("""COMPUTED_VALUE"""),24216)</f>
        <v>24216</v>
      </c>
    </row>
    <row r="62" spans="1:8">
      <c r="A62" s="8" t="str">
        <f ca="1">IFERROR(__xludf.DUMMYFUNCTION("""COMPUTED_VALUE"""),"AS-IG-AO-IMBE-3")</f>
        <v>AS-IG-AO-IMBE-3</v>
      </c>
      <c r="B62" s="8" t="str">
        <f ca="1">IFERROR(__xludf.DUMMYFUNCTION("""COMPUTED_VALUE"""),"Annual Plan AS-IG-AO-IMBE-3")</f>
        <v>Annual Plan AS-IG-AO-IMBE-3</v>
      </c>
      <c r="C62" s="9" t="str">
        <f ca="1">IFERROR(__xludf.DUMMYFUNCTION("""COMPUTED_VALUE"""),"Branded Mobile")</f>
        <v>Branded Mobile</v>
      </c>
      <c r="D62" s="8" t="str">
        <f ca="1">IFERROR(__xludf.DUMMYFUNCTION("""COMPUTED_VALUE"""),"Recurring")</f>
        <v>Recurring</v>
      </c>
      <c r="E62" s="9" t="str">
        <f ca="1">IFERROR(__xludf.DUMMYFUNCTION("""COMPUTED_VALUE"""),"Igloo Mobile Branded Edition - Pkg 3")</f>
        <v>Igloo Mobile Branded Edition - Pkg 3</v>
      </c>
      <c r="F62" s="8" t="str">
        <f ca="1">IFERROR(__xludf.DUMMYFUNCTION("""COMPUTED_VALUE"""),"EUR")</f>
        <v>EUR</v>
      </c>
      <c r="G62" s="10">
        <f ca="1">IFERROR(__xludf.DUMMYFUNCTION("""COMPUTED_VALUE"""),2018)</f>
        <v>2018</v>
      </c>
      <c r="H62" s="10">
        <f ca="1">IFERROR(__xludf.DUMMYFUNCTION("""COMPUTED_VALUE"""),24216)</f>
        <v>24216</v>
      </c>
    </row>
    <row r="63" spans="1:8">
      <c r="A63" s="8" t="str">
        <f ca="1">IFERROR(__xludf.DUMMYFUNCTION("""COMPUTED_VALUE"""),"AS-IG-AO-IN-PB")</f>
        <v>AS-IG-AO-IN-PB</v>
      </c>
      <c r="B63" s="8" t="str">
        <f ca="1">IFERROR(__xludf.DUMMYFUNCTION("""COMPUTED_VALUE"""),"Quarterly Plan AS-IG-AO-IN-PB")</f>
        <v>Quarterly Plan AS-IG-AO-IN-PB</v>
      </c>
      <c r="C63" s="9" t="str">
        <f ca="1">IFERROR(__xludf.DUMMYFUNCTION("""COMPUTED_VALUE"""),"Insights Program Bundle")</f>
        <v>Insights Program Bundle</v>
      </c>
      <c r="D63" s="8" t="str">
        <f ca="1">IFERROR(__xludf.DUMMYFUNCTION("""COMPUTED_VALUE"""),"Recurring")</f>
        <v>Recurring</v>
      </c>
      <c r="E63" s="9" t="str">
        <f ca="1">IFERROR(__xludf.DUMMYFUNCTION("""COMPUTED_VALUE"""),"Insights Program Bundle")</f>
        <v>Insights Program Bundle</v>
      </c>
      <c r="F63" s="10" t="str">
        <f ca="1">IFERROR(__xludf.DUMMYFUNCTION("""COMPUTED_VALUE"""),"EUR")</f>
        <v>EUR</v>
      </c>
      <c r="G63" s="10">
        <f ca="1">IFERROR(__xludf.DUMMYFUNCTION("""COMPUTED_VALUE"""),323)</f>
        <v>323</v>
      </c>
      <c r="H63" s="10">
        <f ca="1">IFERROR(__xludf.DUMMYFUNCTION("""COMPUTED_VALUE"""),3876)</f>
        <v>3876</v>
      </c>
    </row>
    <row r="64" spans="1:8">
      <c r="A64" s="8" t="str">
        <f ca="1">IFERROR(__xludf.DUMMYFUNCTION("""COMPUTED_VALUE"""),"AS-IG-AO-IN-PB")</f>
        <v>AS-IG-AO-IN-PB</v>
      </c>
      <c r="B64" s="8" t="str">
        <f ca="1">IFERROR(__xludf.DUMMYFUNCTION("""COMPUTED_VALUE"""),"Annual Plan AS-IG-AO-IN-PB")</f>
        <v>Annual Plan AS-IG-AO-IN-PB</v>
      </c>
      <c r="C64" s="9" t="str">
        <f ca="1">IFERROR(__xludf.DUMMYFUNCTION("""COMPUTED_VALUE"""),"Insights Program Bundle")</f>
        <v>Insights Program Bundle</v>
      </c>
      <c r="D64" s="8" t="str">
        <f ca="1">IFERROR(__xludf.DUMMYFUNCTION("""COMPUTED_VALUE"""),"Recurring")</f>
        <v>Recurring</v>
      </c>
      <c r="E64" s="9" t="str">
        <f ca="1">IFERROR(__xludf.DUMMYFUNCTION("""COMPUTED_VALUE"""),"Insights Program Bundle")</f>
        <v>Insights Program Bundle</v>
      </c>
      <c r="F64" s="10" t="str">
        <f ca="1">IFERROR(__xludf.DUMMYFUNCTION("""COMPUTED_VALUE"""),"EUR")</f>
        <v>EUR</v>
      </c>
      <c r="G64" s="10">
        <f ca="1">IFERROR(__xludf.DUMMYFUNCTION("""COMPUTED_VALUE"""),323)</f>
        <v>323</v>
      </c>
      <c r="H64" s="10">
        <f ca="1">IFERROR(__xludf.DUMMYFUNCTION("""COMPUTED_VALUE"""),3876)</f>
        <v>3876</v>
      </c>
    </row>
    <row r="65" spans="1:8">
      <c r="A65" s="8" t="str">
        <f ca="1">IFERROR(__xludf.DUMMYFUNCTION("""COMPUTED_VALUE"""),"AS-IG-AO-M-PP")</f>
        <v>AS-IG-AO-M-PP</v>
      </c>
      <c r="B65" s="8" t="str">
        <f ca="1">IFERROR(__xludf.DUMMYFUNCTION("""COMPUTED_VALUE"""),"Quarterly Plan AS-IG-AO-M-PP")</f>
        <v>Quarterly Plan AS-IG-AO-M-PP</v>
      </c>
      <c r="C65" s="9" t="str">
        <f ca="1">IFERROR(__xludf.DUMMYFUNCTION("""COMPUTED_VALUE"""),"Premium Profiles")</f>
        <v>Premium Profiles</v>
      </c>
      <c r="D65" s="8" t="str">
        <f ca="1">IFERROR(__xludf.DUMMYFUNCTION("""COMPUTED_VALUE"""),"Recurring")</f>
        <v>Recurring</v>
      </c>
      <c r="E65" s="9" t="str">
        <f ca="1">IFERROR(__xludf.DUMMYFUNCTION("""COMPUTED_VALUE"""),"Module: Premium Profiles")</f>
        <v>Module: Premium Profiles</v>
      </c>
      <c r="F65" s="10" t="str">
        <f ca="1">IFERROR(__xludf.DUMMYFUNCTION("""COMPUTED_VALUE"""),"EUR")</f>
        <v>EUR</v>
      </c>
      <c r="G65" s="10">
        <f ca="1">IFERROR(__xludf.DUMMYFUNCTION("""COMPUTED_VALUE"""),202)</f>
        <v>202</v>
      </c>
      <c r="H65" s="10">
        <f ca="1">IFERROR(__xludf.DUMMYFUNCTION("""COMPUTED_VALUE"""),2424)</f>
        <v>2424</v>
      </c>
    </row>
    <row r="66" spans="1:8">
      <c r="A66" s="8" t="str">
        <f ca="1">IFERROR(__xludf.DUMMYFUNCTION("""COMPUTED_VALUE"""),"AS-IG-AO-M-PP")</f>
        <v>AS-IG-AO-M-PP</v>
      </c>
      <c r="B66" s="8" t="str">
        <f ca="1">IFERROR(__xludf.DUMMYFUNCTION("""COMPUTED_VALUE"""),"Annual Plan AS-IG-AO-M-PP")</f>
        <v>Annual Plan AS-IG-AO-M-PP</v>
      </c>
      <c r="C66" s="9" t="str">
        <f ca="1">IFERROR(__xludf.DUMMYFUNCTION("""COMPUTED_VALUE"""),"Premium Profiles")</f>
        <v>Premium Profiles</v>
      </c>
      <c r="D66" s="8" t="str">
        <f ca="1">IFERROR(__xludf.DUMMYFUNCTION("""COMPUTED_VALUE"""),"Recurring")</f>
        <v>Recurring</v>
      </c>
      <c r="E66" s="9" t="str">
        <f ca="1">IFERROR(__xludf.DUMMYFUNCTION("""COMPUTED_VALUE"""),"Module: Premium Profiles")</f>
        <v>Module: Premium Profiles</v>
      </c>
      <c r="F66" s="8" t="str">
        <f ca="1">IFERROR(__xludf.DUMMYFUNCTION("""COMPUTED_VALUE"""),"EUR")</f>
        <v>EUR</v>
      </c>
      <c r="G66" s="10">
        <f ca="1">IFERROR(__xludf.DUMMYFUNCTION("""COMPUTED_VALUE"""),202)</f>
        <v>202</v>
      </c>
      <c r="H66" s="10">
        <f ca="1">IFERROR(__xludf.DUMMYFUNCTION("""COMPUTED_VALUE"""),2424)</f>
        <v>2424</v>
      </c>
    </row>
    <row r="67" spans="1:8">
      <c r="A67" s="8" t="str">
        <f ca="1">IFERROR(__xludf.DUMMYFUNCTION("""COMPUTED_VALUE"""),"AS-IG-AO-RECC-P")</f>
        <v>AS-IG-AO-RECC-P</v>
      </c>
      <c r="B67" s="8" t="str">
        <f ca="1">IFERROR(__xludf.DUMMYFUNCTION("""COMPUTED_VALUE"""),"Annual Plan AS-IG-AO-RECC-P")</f>
        <v>Annual Plan AS-IG-AO-RECC-P</v>
      </c>
      <c r="C67" s="9" t="str">
        <f ca="1">IFERROR(__xludf.DUMMYFUNCTION("""COMPUTED_VALUE"""),"Rec Center Plus")</f>
        <v>Rec Center Plus</v>
      </c>
      <c r="D67" s="8" t="str">
        <f ca="1">IFERROR(__xludf.DUMMYFUNCTION("""COMPUTED_VALUE"""),"Recurring")</f>
        <v>Recurring</v>
      </c>
      <c r="E67" s="9" t="str">
        <f ca="1">IFERROR(__xludf.DUMMYFUNCTION("""COMPUTED_VALUE"""),"Recognition Center Plus")</f>
        <v>Recognition Center Plus</v>
      </c>
      <c r="F67" s="10" t="str">
        <f ca="1">IFERROR(__xludf.DUMMYFUNCTION("""COMPUTED_VALUE"""),"EUR")</f>
        <v>EUR</v>
      </c>
      <c r="G67" s="10">
        <f ca="1">IFERROR(__xludf.DUMMYFUNCTION("""COMPUTED_VALUE"""),14529)</f>
        <v>14529</v>
      </c>
      <c r="H67" s="10">
        <f ca="1">IFERROR(__xludf.DUMMYFUNCTION("""COMPUTED_VALUE"""),174348)</f>
        <v>174348</v>
      </c>
    </row>
    <row r="68" spans="1:8">
      <c r="A68" s="8" t="str">
        <f ca="1">IFERROR(__xludf.DUMMYFUNCTION("""COMPUTED_VALUE"""),"AS-IG-AO-RECC-P")</f>
        <v>AS-IG-AO-RECC-P</v>
      </c>
      <c r="B68" s="8" t="str">
        <f ca="1">IFERROR(__xludf.DUMMYFUNCTION("""COMPUTED_VALUE"""),"Quarterly Plan AS-IG-AO-RECC-P")</f>
        <v>Quarterly Plan AS-IG-AO-RECC-P</v>
      </c>
      <c r="C68" s="9" t="str">
        <f ca="1">IFERROR(__xludf.DUMMYFUNCTION("""COMPUTED_VALUE"""),"Rec Center Plus")</f>
        <v>Rec Center Plus</v>
      </c>
      <c r="D68" s="8" t="str">
        <f ca="1">IFERROR(__xludf.DUMMYFUNCTION("""COMPUTED_VALUE"""),"Recurring")</f>
        <v>Recurring</v>
      </c>
      <c r="E68" s="9" t="str">
        <f ca="1">IFERROR(__xludf.DUMMYFUNCTION("""COMPUTED_VALUE"""),"Recognition Center Plus")</f>
        <v>Recognition Center Plus</v>
      </c>
      <c r="F68" s="10" t="str">
        <f ca="1">IFERROR(__xludf.DUMMYFUNCTION("""COMPUTED_VALUE"""),"EUR")</f>
        <v>EUR</v>
      </c>
      <c r="G68" s="10">
        <f ca="1">IFERROR(__xludf.DUMMYFUNCTION("""COMPUTED_VALUE"""),14529)</f>
        <v>14529</v>
      </c>
      <c r="H68" s="10">
        <f ca="1">IFERROR(__xludf.DUMMYFUNCTION("""COMPUTED_VALUE"""),174348)</f>
        <v>174348</v>
      </c>
    </row>
    <row r="69" spans="1:8">
      <c r="A69" s="8" t="str">
        <f ca="1">IFERROR(__xludf.DUMMYFUNCTION("""COMPUTED_VALUE"""),"AS-IG-AO-TR-IUL")</f>
        <v>AS-IG-AO-TR-IUL</v>
      </c>
      <c r="B69" s="8" t="str">
        <f ca="1">IFERROR(__xludf.DUMMYFUNCTION("""COMPUTED_VALUE"""),"Quarterly Plan AS-IG-AO-TR-IUL")</f>
        <v>Quarterly Plan AS-IG-AO-TR-IUL</v>
      </c>
      <c r="C69" s="9" t="str">
        <f ca="1">IFERROR(__xludf.DUMMYFUNCTION("""COMPUTED_VALUE"""),"Igloo University License")</f>
        <v>Igloo University License</v>
      </c>
      <c r="D69" s="8" t="str">
        <f ca="1">IFERROR(__xludf.DUMMYFUNCTION("""COMPUTED_VALUE"""),"Recurring")</f>
        <v>Recurring</v>
      </c>
      <c r="E69" s="9" t="str">
        <f ca="1">IFERROR(__xludf.DUMMYFUNCTION("""COMPUTED_VALUE"""),"Igloo University License")</f>
        <v>Igloo University License</v>
      </c>
      <c r="F69" s="10" t="str">
        <f ca="1">IFERROR(__xludf.DUMMYFUNCTION("""COMPUTED_VALUE"""),"EUR")</f>
        <v>EUR</v>
      </c>
      <c r="G69" s="8">
        <f ca="1">IFERROR(__xludf.DUMMYFUNCTION("""COMPUTED_VALUE"""),726)</f>
        <v>726</v>
      </c>
      <c r="H69" s="10">
        <f ca="1">IFERROR(__xludf.DUMMYFUNCTION("""COMPUTED_VALUE"""),8712)</f>
        <v>8712</v>
      </c>
    </row>
    <row r="70" spans="1:8">
      <c r="A70" s="8" t="str">
        <f ca="1">IFERROR(__xludf.DUMMYFUNCTION("""COMPUTED_VALUE"""),"AS-IG-AO-TR-IUL")</f>
        <v>AS-IG-AO-TR-IUL</v>
      </c>
      <c r="B70" s="8" t="str">
        <f ca="1">IFERROR(__xludf.DUMMYFUNCTION("""COMPUTED_VALUE"""),"Annual Plan AS-IG-AO-TR-IUL")</f>
        <v>Annual Plan AS-IG-AO-TR-IUL</v>
      </c>
      <c r="C70" s="9" t="str">
        <f ca="1">IFERROR(__xludf.DUMMYFUNCTION("""COMPUTED_VALUE"""),"Igloo University License")</f>
        <v>Igloo University License</v>
      </c>
      <c r="D70" s="8" t="str">
        <f ca="1">IFERROR(__xludf.DUMMYFUNCTION("""COMPUTED_VALUE"""),"Recurring")</f>
        <v>Recurring</v>
      </c>
      <c r="E70" s="9" t="str">
        <f ca="1">IFERROR(__xludf.DUMMYFUNCTION("""COMPUTED_VALUE"""),"Igloo University License")</f>
        <v>Igloo University License</v>
      </c>
      <c r="F70" s="10" t="str">
        <f ca="1">IFERROR(__xludf.DUMMYFUNCTION("""COMPUTED_VALUE"""),"EUR")</f>
        <v>EUR</v>
      </c>
      <c r="G70" s="10">
        <f ca="1">IFERROR(__xludf.DUMMYFUNCTION("""COMPUTED_VALUE"""),726)</f>
        <v>726</v>
      </c>
      <c r="H70" s="10">
        <f ca="1">IFERROR(__xludf.DUMMYFUNCTION("""COMPUTED_VALUE"""),8712)</f>
        <v>8712</v>
      </c>
    </row>
    <row r="71" spans="1:8">
      <c r="A71" s="8" t="str">
        <f ca="1">IFERROR(__xludf.DUMMYFUNCTION("""COMPUTED_VALUE"""),"AS-IG-DATA-EXPORT")</f>
        <v>AS-IG-DATA-EXPORT</v>
      </c>
      <c r="B71" s="8" t="str">
        <f ca="1">IFERROR(__xludf.DUMMYFUNCTION("""COMPUTED_VALUE"""),"AS-IG-DATA-EXPORT")</f>
        <v>AS-IG-DATA-EXPORT</v>
      </c>
      <c r="C71" s="9" t="str">
        <f ca="1">IFERROR(__xludf.DUMMYFUNCTION("""COMPUTED_VALUE"""),"Data Export")</f>
        <v>Data Export</v>
      </c>
      <c r="D71" s="8" t="str">
        <f ca="1">IFERROR(__xludf.DUMMYFUNCTION("""COMPUTED_VALUE"""),"One-Time")</f>
        <v>One-Time</v>
      </c>
      <c r="E71" s="9" t="str">
        <f ca="1">IFERROR(__xludf.DUMMYFUNCTION("""COMPUTED_VALUE"""),"Data Export")</f>
        <v>Data Export</v>
      </c>
      <c r="F71" s="10" t="str">
        <f ca="1">IFERROR(__xludf.DUMMYFUNCTION("""COMPUTED_VALUE"""),"EUR")</f>
        <v>EUR</v>
      </c>
      <c r="G71" s="10">
        <f ca="1">IFERROR(__xludf.DUMMYFUNCTION("""COMPUTED_VALUE"""),2422)</f>
        <v>2422</v>
      </c>
      <c r="H71" s="10">
        <f ca="1">IFERROR(__xludf.DUMMYFUNCTION("""COMPUTED_VALUE"""),2422)</f>
        <v>2422</v>
      </c>
    </row>
    <row r="72" spans="1:8">
      <c r="A72" s="8" t="str">
        <f ca="1">IFERROR(__xludf.DUMMYFUNCTION("""COMPUTED_VALUE"""),"AS-IG-DWEP-P")</f>
        <v>AS-IG-DWEP-P</v>
      </c>
      <c r="B72" s="8" t="str">
        <f ca="1">IFERROR(__xludf.DUMMYFUNCTION("""COMPUTED_VALUE"""),"Quarterly Plan AS-IG-DWEP-P")</f>
        <v>Quarterly Plan AS-IG-DWEP-P</v>
      </c>
      <c r="C72" s="9" t="str">
        <f ca="1">IFERROR(__xludf.DUMMYFUNCTION("""COMPUTED_VALUE"""),"DWP Excellence Program")</f>
        <v>DWP Excellence Program</v>
      </c>
      <c r="D72" s="8" t="str">
        <f ca="1">IFERROR(__xludf.DUMMYFUNCTION("""COMPUTED_VALUE"""),"Recurring")</f>
        <v>Recurring</v>
      </c>
      <c r="E72" s="9" t="str">
        <f ca="1">IFERROR(__xludf.DUMMYFUNCTION("""COMPUTED_VALUE"""),"Digital Workplace Excellence Program - Pro")</f>
        <v>Digital Workplace Excellence Program - Pro</v>
      </c>
      <c r="F72" s="10" t="str">
        <f ca="1">IFERROR(__xludf.DUMMYFUNCTION("""COMPUTED_VALUE"""),"EUR")</f>
        <v>EUR</v>
      </c>
      <c r="G72" s="10">
        <f ca="1">IFERROR(__xludf.DUMMYFUNCTION("""COMPUTED_VALUE"""),7749)</f>
        <v>7749</v>
      </c>
      <c r="H72" s="10">
        <f ca="1">IFERROR(__xludf.DUMMYFUNCTION("""COMPUTED_VALUE"""),92988)</f>
        <v>92988</v>
      </c>
    </row>
    <row r="73" spans="1:8">
      <c r="A73" s="8" t="str">
        <f ca="1">IFERROR(__xludf.DUMMYFUNCTION("""COMPUTED_VALUE"""),"AS-IG-DWEP-P")</f>
        <v>AS-IG-DWEP-P</v>
      </c>
      <c r="B73" s="8" t="str">
        <f ca="1">IFERROR(__xludf.DUMMYFUNCTION("""COMPUTED_VALUE"""),"Annual Plan AS-IG-DWEP-P")</f>
        <v>Annual Plan AS-IG-DWEP-P</v>
      </c>
      <c r="C73" s="9" t="str">
        <f ca="1">IFERROR(__xludf.DUMMYFUNCTION("""COMPUTED_VALUE"""),"DWP Excellence Program")</f>
        <v>DWP Excellence Program</v>
      </c>
      <c r="D73" s="8" t="str">
        <f ca="1">IFERROR(__xludf.DUMMYFUNCTION("""COMPUTED_VALUE"""),"Recurring")</f>
        <v>Recurring</v>
      </c>
      <c r="E73" s="9" t="str">
        <f ca="1">IFERROR(__xludf.DUMMYFUNCTION("""COMPUTED_VALUE"""),"Digital Workplace Excellence Program - Pro")</f>
        <v>Digital Workplace Excellence Program - Pro</v>
      </c>
      <c r="F73" s="10" t="str">
        <f ca="1">IFERROR(__xludf.DUMMYFUNCTION("""COMPUTED_VALUE"""),"EUR")</f>
        <v>EUR</v>
      </c>
      <c r="G73" s="10">
        <f ca="1">IFERROR(__xludf.DUMMYFUNCTION("""COMPUTED_VALUE"""),7749)</f>
        <v>7749</v>
      </c>
      <c r="H73" s="10">
        <f ca="1">IFERROR(__xludf.DUMMYFUNCTION("""COMPUTED_VALUE"""),92988)</f>
        <v>92988</v>
      </c>
    </row>
    <row r="74" spans="1:8">
      <c r="A74" s="8" t="str">
        <f ca="1">IFERROR(__xludf.DUMMYFUNCTION("""COMPUTED_VALUE"""),"AS-IG-EVOL-A-SS")</f>
        <v>AS-IG-EVOL-A-SS</v>
      </c>
      <c r="B74" s="8" t="str">
        <f ca="1">IFERROR(__xludf.DUMMYFUNCTION("""COMPUTED_VALUE"""),"AS-IG-EVOL-A-SS")</f>
        <v>AS-IG-EVOL-A-SS</v>
      </c>
      <c r="C74" s="9" t="str">
        <f ca="1">IFERROR(__xludf.DUMMYFUNCTION("""COMPUTED_VALUE"""),"Evolve - Architecture and Search")</f>
        <v>Evolve - Architecture and Search</v>
      </c>
      <c r="D74" s="8" t="str">
        <f ca="1">IFERROR(__xludf.DUMMYFUNCTION("""COMPUTED_VALUE"""),"One-Time")</f>
        <v>One-Time</v>
      </c>
      <c r="E74" s="9" t="str">
        <f ca="1">IFERROR(__xludf.DUMMYFUNCTION("""COMPUTED_VALUE"""),"Evolve - Architecture &amp; Search Support")</f>
        <v>Evolve - Architecture &amp; Search Support</v>
      </c>
      <c r="F74" s="10" t="str">
        <f ca="1">IFERROR(__xludf.DUMMYFUNCTION("""COMPUTED_VALUE"""),"EUR")</f>
        <v>EUR</v>
      </c>
      <c r="G74" s="10">
        <f ca="1">IFERROR(__xludf.DUMMYFUNCTION("""COMPUTED_VALUE"""),404)</f>
        <v>404</v>
      </c>
      <c r="H74" s="10">
        <f ca="1">IFERROR(__xludf.DUMMYFUNCTION("""COMPUTED_VALUE"""),404)</f>
        <v>404</v>
      </c>
    </row>
    <row r="75" spans="1:8">
      <c r="A75" s="8" t="str">
        <f ca="1">IFERROR(__xludf.DUMMYFUNCTION("""COMPUTED_VALUE"""),"AS-IG-EVOL-EVDE")</f>
        <v>AS-IG-EVOL-EVDE</v>
      </c>
      <c r="B75" s="8" t="str">
        <f ca="1">IFERROR(__xludf.DUMMYFUNCTION("""COMPUTED_VALUE"""),"AS-IG-EVOL-EVDE")</f>
        <v>AS-IG-EVOL-EVDE</v>
      </c>
      <c r="C75" s="9" t="str">
        <f ca="1">IFERROR(__xludf.DUMMYFUNCTION("""COMPUTED_VALUE"""),"Evolve - Enterprise VD")</f>
        <v>Evolve - Enterprise VD</v>
      </c>
      <c r="D75" s="8" t="str">
        <f ca="1">IFERROR(__xludf.DUMMYFUNCTION("""COMPUTED_VALUE"""),"One-Time")</f>
        <v>One-Time</v>
      </c>
      <c r="E75" s="9" t="str">
        <f ca="1">IFERROR(__xludf.DUMMYFUNCTION("""COMPUTED_VALUE"""),"Enterprise Visual Design Evolve")</f>
        <v>Enterprise Visual Design Evolve</v>
      </c>
      <c r="F75" s="10" t="str">
        <f ca="1">IFERROR(__xludf.DUMMYFUNCTION("""COMPUTED_VALUE"""),"EUR")</f>
        <v>EUR</v>
      </c>
      <c r="G75" s="10">
        <f ca="1">IFERROR(__xludf.DUMMYFUNCTION("""COMPUTED_VALUE"""),19373)</f>
        <v>19373</v>
      </c>
      <c r="H75" s="10">
        <f ca="1">IFERROR(__xludf.DUMMYFUNCTION("""COMPUTED_VALUE"""),19373)</f>
        <v>19373</v>
      </c>
    </row>
    <row r="76" spans="1:8">
      <c r="A76" s="8" t="str">
        <f ca="1">IFERROR(__xludf.DUMMYFUNCTION("""COMPUTED_VALUE"""),"AS-IG-FAIS")</f>
        <v>AS-IG-FAIS</v>
      </c>
      <c r="B76" s="8" t="str">
        <f ca="1">IFERROR(__xludf.DUMMYFUNCTION("""COMPUTED_VALUE"""),"AS-IG-FAIS")</f>
        <v>AS-IG-FAIS</v>
      </c>
      <c r="C76" s="9" t="str">
        <f ca="1">IFERROR(__xludf.DUMMYFUNCTION("""COMPUTED_VALUE"""),"Flex Advanced Implementation")</f>
        <v>Flex Advanced Implementation</v>
      </c>
      <c r="D76" s="8" t="str">
        <f ca="1">IFERROR(__xludf.DUMMYFUNCTION("""COMPUTED_VALUE"""),"One-Time")</f>
        <v>One-Time</v>
      </c>
      <c r="E76" s="9" t="str">
        <f ca="1">IFERROR(__xludf.DUMMYFUNCTION("""COMPUTED_VALUE"""),"Flex Advanced Implementation Services")</f>
        <v>Flex Advanced Implementation Services</v>
      </c>
      <c r="F76" s="10" t="str">
        <f ca="1">IFERROR(__xludf.DUMMYFUNCTION("""COMPUTED_VALUE"""),"EUR")</f>
        <v>EUR</v>
      </c>
      <c r="G76" s="10">
        <f ca="1">IFERROR(__xludf.DUMMYFUNCTION("""COMPUTED_VALUE"""),96863)</f>
        <v>96863</v>
      </c>
      <c r="H76" s="10">
        <f ca="1">IFERROR(__xludf.DUMMYFUNCTION("""COMPUTED_VALUE"""),96863)</f>
        <v>96863</v>
      </c>
    </row>
    <row r="77" spans="1:8">
      <c r="A77" s="8" t="str">
        <f ca="1">IFERROR(__xludf.DUMMYFUNCTION("""COMPUTED_VALUE"""),"AS-IG-FSIS")</f>
        <v>AS-IG-FSIS</v>
      </c>
      <c r="B77" s="8" t="str">
        <f ca="1">IFERROR(__xludf.DUMMYFUNCTION("""COMPUTED_VALUE"""),"AS-IG-FSIS")</f>
        <v>AS-IG-FSIS</v>
      </c>
      <c r="C77" s="9" t="str">
        <f ca="1">IFERROR(__xludf.DUMMYFUNCTION("""COMPUTED_VALUE"""),"Flex Standard Implementation")</f>
        <v>Flex Standard Implementation</v>
      </c>
      <c r="D77" s="8" t="str">
        <f ca="1">IFERROR(__xludf.DUMMYFUNCTION("""COMPUTED_VALUE"""),"One-Time")</f>
        <v>One-Time</v>
      </c>
      <c r="E77" s="9" t="str">
        <f ca="1">IFERROR(__xludf.DUMMYFUNCTION("""COMPUTED_VALUE"""),"Flex Standard Implementation Services")</f>
        <v>Flex Standard Implementation Services</v>
      </c>
      <c r="F77" s="10" t="str">
        <f ca="1">IFERROR(__xludf.DUMMYFUNCTION("""COMPUTED_VALUE"""),"EUR")</f>
        <v>EUR</v>
      </c>
      <c r="G77" s="10">
        <f ca="1">IFERROR(__xludf.DUMMYFUNCTION("""COMPUTED_VALUE"""),48431)</f>
        <v>48431</v>
      </c>
      <c r="H77" s="10">
        <f ca="1">IFERROR(__xludf.DUMMYFUNCTION("""COMPUTED_VALUE"""),48431)</f>
        <v>48431</v>
      </c>
    </row>
    <row r="78" spans="1:8">
      <c r="A78" s="8" t="str">
        <f ca="1">IFERROR(__xludf.DUMMYFUNCTION("""COMPUTED_VALUE"""),"AS-IG-HOSTING-MULTIT-I-1-10")</f>
        <v>AS-IG-HOSTING-MULTIT-I-1-10</v>
      </c>
      <c r="B78" s="8" t="str">
        <f ca="1">IFERROR(__xludf.DUMMYFUNCTION("""COMPUTED_VALUE"""),"Annual Plan AS-IG-HOSTING-MULTIT-I-1-10")</f>
        <v>Annual Plan AS-IG-HOSTING-MULTIT-I-1-10</v>
      </c>
      <c r="C78" s="9" t="str">
        <f ca="1">IFERROR(__xludf.DUMMYFUNCTION("""COMPUTED_VALUE"""),"Igloo Concurrent License")</f>
        <v>Igloo Concurrent License</v>
      </c>
      <c r="D78" s="8" t="str">
        <f ca="1">IFERROR(__xludf.DUMMYFUNCTION("""COMPUTED_VALUE"""),"Recurring")</f>
        <v>Recurring</v>
      </c>
      <c r="E78" s="9" t="str">
        <f ca="1">IFERROR(__xludf.DUMMYFUNCTION("""COMPUTED_VALUE"""),"Concurrent 1:10")</f>
        <v>Concurrent 1:10</v>
      </c>
      <c r="F78" s="10" t="str">
        <f ca="1">IFERROR(__xludf.DUMMYFUNCTION("""COMPUTED_VALUE"""),"EUR")</f>
        <v>EUR</v>
      </c>
      <c r="G78" s="10">
        <f ca="1">IFERROR(__xludf.DUMMYFUNCTION("""COMPUTED_VALUE"""),11.62)</f>
        <v>11.62</v>
      </c>
      <c r="H78" s="10">
        <f ca="1">IFERROR(__xludf.DUMMYFUNCTION("""COMPUTED_VALUE"""),139.44)</f>
        <v>139.44</v>
      </c>
    </row>
    <row r="79" spans="1:8">
      <c r="A79" s="8" t="str">
        <f ca="1">IFERROR(__xludf.DUMMYFUNCTION("""COMPUTED_VALUE"""),"AS-IG-HOSTING-MULTIT-I-1-10")</f>
        <v>AS-IG-HOSTING-MULTIT-I-1-10</v>
      </c>
      <c r="B79" s="8" t="str">
        <f ca="1">IFERROR(__xludf.DUMMYFUNCTION("""COMPUTED_VALUE"""),"Quarterly Plan AS-IG-HOSTING-MULTIT-I-1-10")</f>
        <v>Quarterly Plan AS-IG-HOSTING-MULTIT-I-1-10</v>
      </c>
      <c r="C79" s="9" t="str">
        <f ca="1">IFERROR(__xludf.DUMMYFUNCTION("""COMPUTED_VALUE"""),"Igloo Concurrent License")</f>
        <v>Igloo Concurrent License</v>
      </c>
      <c r="D79" s="8" t="str">
        <f ca="1">IFERROR(__xludf.DUMMYFUNCTION("""COMPUTED_VALUE"""),"Recurring")</f>
        <v>Recurring</v>
      </c>
      <c r="E79" s="9" t="str">
        <f ca="1">IFERROR(__xludf.DUMMYFUNCTION("""COMPUTED_VALUE"""),"Concurrent 1:10")</f>
        <v>Concurrent 1:10</v>
      </c>
      <c r="F79" s="10" t="str">
        <f ca="1">IFERROR(__xludf.DUMMYFUNCTION("""COMPUTED_VALUE"""),"EUR")</f>
        <v>EUR</v>
      </c>
      <c r="G79" s="10">
        <f ca="1">IFERROR(__xludf.DUMMYFUNCTION("""COMPUTED_VALUE"""),11.62)</f>
        <v>11.62</v>
      </c>
      <c r="H79" s="10">
        <f ca="1">IFERROR(__xludf.DUMMYFUNCTION("""COMPUTED_VALUE"""),139.44)</f>
        <v>139.44</v>
      </c>
    </row>
    <row r="80" spans="1:8">
      <c r="A80" s="8" t="str">
        <f ca="1">IFERROR(__xludf.DUMMYFUNCTION("""COMPUTED_VALUE"""),"AS-IG-IDS-DS-BP")</f>
        <v>AS-IG-IDS-DS-BP</v>
      </c>
      <c r="B80" s="8" t="str">
        <f ca="1">IFERROR(__xludf.DUMMYFUNCTION("""COMPUTED_VALUE"""),"AS-IG-IDS-DS-BP")</f>
        <v>AS-IG-IDS-DS-BP</v>
      </c>
      <c r="C80" s="9" t="str">
        <f ca="1">IFERROR(__xludf.DUMMYFUNCTION("""COMPUTED_VALUE"""),"IDS Scala Implement")</f>
        <v>IDS Scala Implement</v>
      </c>
      <c r="D80" s="8" t="str">
        <f ca="1">IFERROR(__xludf.DUMMYFUNCTION("""COMPUTED_VALUE"""),"One-Time")</f>
        <v>One-Time</v>
      </c>
      <c r="E80" s="9" t="str">
        <f ca="1">IFERROR(__xludf.DUMMYFUNCTION("""COMPUTED_VALUE"""),"Igloo Digital Signage Services Base Package - Standard Templates + Implementation")</f>
        <v>Igloo Digital Signage Services Base Package - Standard Templates + Implementation</v>
      </c>
      <c r="F80" s="10" t="str">
        <f ca="1">IFERROR(__xludf.DUMMYFUNCTION("""COMPUTED_VALUE"""),"EUR")</f>
        <v>EUR</v>
      </c>
      <c r="G80" s="10">
        <f ca="1">IFERROR(__xludf.DUMMYFUNCTION("""COMPUTED_VALUE"""),145)</f>
        <v>145</v>
      </c>
      <c r="H80" s="10">
        <f ca="1">IFERROR(__xludf.DUMMYFUNCTION("""COMPUTED_VALUE"""),145)</f>
        <v>145</v>
      </c>
    </row>
    <row r="81" spans="1:8">
      <c r="A81" s="8" t="str">
        <f ca="1">IFERROR(__xludf.DUMMYFUNCTION("""COMPUTED_VALUE"""),"AS-IG-IDS-DS-IISDS")</f>
        <v>AS-IG-IDS-DS-IISDS</v>
      </c>
      <c r="B81" s="8" t="str">
        <f ca="1">IFERROR(__xludf.DUMMYFUNCTION("""COMPUTED_VALUE"""),"AS-IG-IDS-DS-IISDS")</f>
        <v>AS-IG-IDS-DS-IISDS</v>
      </c>
      <c r="C81" s="9" t="str">
        <f ca="1">IFERROR(__xludf.DUMMYFUNCTION("""COMPUTED_VALUE"""),"IDS Igloo Implement")</f>
        <v>IDS Igloo Implement</v>
      </c>
      <c r="D81" s="8" t="str">
        <f ca="1">IFERROR(__xludf.DUMMYFUNCTION("""COMPUTED_VALUE"""),"One-Time")</f>
        <v>One-Time</v>
      </c>
      <c r="E81" s="9" t="str">
        <f ca="1">IFERROR(__xludf.DUMMYFUNCTION("""COMPUTED_VALUE"""),"Igloo Digital Signage Services Igloo Implementation Services for Digital Signage")</f>
        <v>Igloo Digital Signage Services Igloo Implementation Services for Digital Signage</v>
      </c>
      <c r="F81" s="10" t="str">
        <f ca="1">IFERROR(__xludf.DUMMYFUNCTION("""COMPUTED_VALUE"""),"EUR")</f>
        <v>EUR</v>
      </c>
      <c r="G81" s="10">
        <f ca="1">IFERROR(__xludf.DUMMYFUNCTION("""COMPUTED_VALUE"""),3390)</f>
        <v>3390</v>
      </c>
      <c r="H81" s="10">
        <f ca="1">IFERROR(__xludf.DUMMYFUNCTION("""COMPUTED_VALUE"""),3390)</f>
        <v>3390</v>
      </c>
    </row>
    <row r="82" spans="1:8">
      <c r="A82" s="8" t="str">
        <f ca="1">IFERROR(__xludf.DUMMYFUNCTION("""COMPUTED_VALUE"""),"AS-IG-IFAH-1UL")</f>
        <v>AS-IG-IFAH-1UL</v>
      </c>
      <c r="B82" s="8" t="str">
        <f ca="1">IFERROR(__xludf.DUMMYFUNCTION("""COMPUTED_VALUE"""),"Quarterly Plan AS-IG-IFAH-1UL")</f>
        <v>Quarterly Plan AS-IG-IFAH-1UL</v>
      </c>
      <c r="C82" s="9" t="str">
        <f ca="1">IFERROR(__xludf.DUMMYFUNCTION("""COMPUTED_VALUE"""),"Igloo Flex License")</f>
        <v>Igloo Flex License</v>
      </c>
      <c r="D82" s="8" t="str">
        <f ca="1">IFERROR(__xludf.DUMMYFUNCTION("""COMPUTED_VALUE"""),"Recurring")</f>
        <v>Recurring</v>
      </c>
      <c r="E82" s="9" t="str">
        <f ca="1">IFERROR(__xludf.DUMMYFUNCTION("""COMPUTED_VALUE"""),"Igloo Flex Authorized User License")</f>
        <v>Igloo Flex Authorized User License</v>
      </c>
      <c r="F82" s="10" t="str">
        <f ca="1">IFERROR(__xludf.DUMMYFUNCTION("""COMPUTED_VALUE"""),"EUR")</f>
        <v>EUR</v>
      </c>
      <c r="G82" s="10">
        <f ca="1">IFERROR(__xludf.DUMMYFUNCTION("""COMPUTED_VALUE"""),5.8)</f>
        <v>5.8</v>
      </c>
      <c r="H82" s="10">
        <f ca="1">IFERROR(__xludf.DUMMYFUNCTION("""COMPUTED_VALUE"""),69.6)</f>
        <v>69.599999999999994</v>
      </c>
    </row>
    <row r="83" spans="1:8">
      <c r="A83" s="8" t="str">
        <f ca="1">IFERROR(__xludf.DUMMYFUNCTION("""COMPUTED_VALUE"""),"AS-IG-IFAH-1UL")</f>
        <v>AS-IG-IFAH-1UL</v>
      </c>
      <c r="B83" s="8" t="str">
        <f ca="1">IFERROR(__xludf.DUMMYFUNCTION("""COMPUTED_VALUE"""),"Annual Plan AS-IG-IFAH-1UL")</f>
        <v>Annual Plan AS-IG-IFAH-1UL</v>
      </c>
      <c r="C83" s="9" t="str">
        <f ca="1">IFERROR(__xludf.DUMMYFUNCTION("""COMPUTED_VALUE"""),"Igloo Flex License")</f>
        <v>Igloo Flex License</v>
      </c>
      <c r="D83" s="8" t="str">
        <f ca="1">IFERROR(__xludf.DUMMYFUNCTION("""COMPUTED_VALUE"""),"Recurring")</f>
        <v>Recurring</v>
      </c>
      <c r="E83" s="9" t="str">
        <f ca="1">IFERROR(__xludf.DUMMYFUNCTION("""COMPUTED_VALUE"""),"Igloo Flex Authorized User License")</f>
        <v>Igloo Flex Authorized User License</v>
      </c>
      <c r="F83" s="8" t="str">
        <f ca="1">IFERROR(__xludf.DUMMYFUNCTION("""COMPUTED_VALUE"""),"EUR")</f>
        <v>EUR</v>
      </c>
      <c r="G83" s="10">
        <f ca="1">IFERROR(__xludf.DUMMYFUNCTION("""COMPUTED_VALUE"""),5.8)</f>
        <v>5.8</v>
      </c>
      <c r="H83" s="10">
        <f ca="1">IFERROR(__xludf.DUMMYFUNCTION("""COMPUTED_VALUE"""),69.6)</f>
        <v>69.599999999999994</v>
      </c>
    </row>
    <row r="84" spans="1:8">
      <c r="A84" s="8" t="str">
        <f ca="1">IFERROR(__xludf.DUMMYFUNCTION("""COMPUTED_VALUE"""),"AS-IG-IIS-UL")</f>
        <v>AS-IG-IIS-UL</v>
      </c>
      <c r="B84" s="8" t="str">
        <f ca="1">IFERROR(__xludf.DUMMYFUNCTION("""COMPUTED_VALUE"""),"Annual Plan AS-IG-IIS-UL")</f>
        <v>Annual Plan AS-IG-IIS-UL</v>
      </c>
      <c r="C84" s="9" t="str">
        <f ca="1">IFERROR(__xludf.DUMMYFUNCTION("""COMPUTED_VALUE"""),"IIS Queries")</f>
        <v>IIS Queries</v>
      </c>
      <c r="D84" s="8" t="str">
        <f ca="1">IFERROR(__xludf.DUMMYFUNCTION("""COMPUTED_VALUE"""),"Recurring")</f>
        <v>Recurring</v>
      </c>
      <c r="E84" s="9" t="str">
        <f ca="1">IFERROR(__xludf.DUMMYFUNCTION("""COMPUTED_VALUE"""),"Igloo Intelligent Search (IIS)")</f>
        <v>Igloo Intelligent Search (IIS)</v>
      </c>
      <c r="F84" s="10" t="str">
        <f ca="1">IFERROR(__xludf.DUMMYFUNCTION("""COMPUTED_VALUE"""),"EUR")</f>
        <v>EUR</v>
      </c>
      <c r="G84" s="8">
        <f ca="1">IFERROR(__xludf.DUMMYFUNCTION("""COMPUTED_VALUE"""),0.02)</f>
        <v>0.02</v>
      </c>
      <c r="H84" s="10">
        <f ca="1">IFERROR(__xludf.DUMMYFUNCTION("""COMPUTED_VALUE"""),0.24)</f>
        <v>0.24</v>
      </c>
    </row>
    <row r="85" spans="1:8">
      <c r="A85" s="8" t="str">
        <f ca="1">IFERROR(__xludf.DUMMYFUNCTION("""COMPUTED_VALUE"""),"AS-IG-IIS-UL")</f>
        <v>AS-IG-IIS-UL</v>
      </c>
      <c r="B85" s="8" t="str">
        <f ca="1">IFERROR(__xludf.DUMMYFUNCTION("""COMPUTED_VALUE"""),"Quarterly Plan AS-IG-IIS-UL")</f>
        <v>Quarterly Plan AS-IG-IIS-UL</v>
      </c>
      <c r="C85" s="9" t="str">
        <f ca="1">IFERROR(__xludf.DUMMYFUNCTION("""COMPUTED_VALUE"""),"IIS Queries")</f>
        <v>IIS Queries</v>
      </c>
      <c r="D85" s="8" t="str">
        <f ca="1">IFERROR(__xludf.DUMMYFUNCTION("""COMPUTED_VALUE"""),"Recurring")</f>
        <v>Recurring</v>
      </c>
      <c r="E85" s="9" t="str">
        <f ca="1">IFERROR(__xludf.DUMMYFUNCTION("""COMPUTED_VALUE"""),"Igloo Intelligent Search (IIS)")</f>
        <v>Igloo Intelligent Search (IIS)</v>
      </c>
      <c r="F85" s="10" t="str">
        <f ca="1">IFERROR(__xludf.DUMMYFUNCTION("""COMPUTED_VALUE"""),"EUR")</f>
        <v>EUR</v>
      </c>
      <c r="G85" s="8">
        <f ca="1">IFERROR(__xludf.DUMMYFUNCTION("""COMPUTED_VALUE"""),0.02)</f>
        <v>0.02</v>
      </c>
      <c r="H85" s="10">
        <f ca="1">IFERROR(__xludf.DUMMYFUNCTION("""COMPUTED_VALUE"""),0.24)</f>
        <v>0.24</v>
      </c>
    </row>
    <row r="86" spans="1:8">
      <c r="A86" s="8" t="str">
        <f ca="1">IFERROR(__xludf.DUMMYFUNCTION("""COMPUTED_VALUE"""),"AS-IG-IMBLS")</f>
        <v>AS-IG-IMBLS</v>
      </c>
      <c r="B86" s="8" t="str">
        <f ca="1">IFERROR(__xludf.DUMMYFUNCTION("""COMPUTED_VALUE"""),"AS-IG-IMBLS")</f>
        <v>AS-IG-IMBLS</v>
      </c>
      <c r="C86" s="9" t="str">
        <f ca="1">IFERROR(__xludf.DUMMYFUNCTION("""COMPUTED_VALUE"""),"Mobile Implement")</f>
        <v>Mobile Implement</v>
      </c>
      <c r="D86" s="8" t="str">
        <f ca="1">IFERROR(__xludf.DUMMYFUNCTION("""COMPUTED_VALUE"""),"One-Time")</f>
        <v>One-Time</v>
      </c>
      <c r="E86" s="9" t="str">
        <f ca="1">IFERROR(__xludf.DUMMYFUNCTION("""COMPUTED_VALUE"""),"Igloo Mobile Branded Launch Services")</f>
        <v>Igloo Mobile Branded Launch Services</v>
      </c>
      <c r="F86" s="8" t="str">
        <f ca="1">IFERROR(__xludf.DUMMYFUNCTION("""COMPUTED_VALUE"""),"EUR")</f>
        <v>EUR</v>
      </c>
      <c r="G86" s="8">
        <f ca="1">IFERROR(__xludf.DUMMYFUNCTION("""COMPUTED_VALUE"""),807)</f>
        <v>807</v>
      </c>
      <c r="H86" s="10">
        <f ca="1">IFERROR(__xludf.DUMMYFUNCTION("""COMPUTED_VALUE"""),807)</f>
        <v>807</v>
      </c>
    </row>
    <row r="87" spans="1:8">
      <c r="A87" s="8" t="str">
        <f ca="1">IFERROR(__xludf.DUMMYFUNCTION("""COMPUTED_VALUE"""),"AS-IG-MLP-IF")</f>
        <v>AS-IG-MLP-IF</v>
      </c>
      <c r="B87" s="8" t="str">
        <f ca="1">IFERROR(__xludf.DUMMYFUNCTION("""COMPUTED_VALUE"""),"AS-IG-MLP-IF")</f>
        <v>AS-IG-MLP-IF</v>
      </c>
      <c r="C87" s="9" t="str">
        <f ca="1">IFERROR(__xludf.DUMMYFUNCTION("""COMPUTED_VALUE"""),"Flex Migration")</f>
        <v>Flex Migration</v>
      </c>
      <c r="D87" s="8" t="str">
        <f ca="1">IFERROR(__xludf.DUMMYFUNCTION("""COMPUTED_VALUE"""),"One-Time")</f>
        <v>One-Time</v>
      </c>
      <c r="E87" s="9" t="str">
        <f ca="1">IFERROR(__xludf.DUMMYFUNCTION("""COMPUTED_VALUE"""),"Direct Migration From Legacy Platform to Igloo Flex")</f>
        <v>Direct Migration From Legacy Platform to Igloo Flex</v>
      </c>
      <c r="F87" s="10" t="str">
        <f ca="1">IFERROR(__xludf.DUMMYFUNCTION("""COMPUTED_VALUE"""),"EUR")</f>
        <v>EUR</v>
      </c>
      <c r="G87" s="10">
        <f ca="1">IFERROR(__xludf.DUMMYFUNCTION("""COMPUTED_VALUE"""),48431)</f>
        <v>48431</v>
      </c>
      <c r="H87" s="10">
        <f ca="1">IFERROR(__xludf.DUMMYFUNCTION("""COMPUTED_VALUE"""),48431)</f>
        <v>48431</v>
      </c>
    </row>
    <row r="88" spans="1:8">
      <c r="A88" s="8" t="str">
        <f ca="1">IFERROR(__xludf.DUMMYFUNCTION("""COMPUTED_VALUE"""),"AS-IG-MLP-IF2")</f>
        <v>AS-IG-MLP-IF2</v>
      </c>
      <c r="B88" s="8" t="str">
        <f ca="1">IFERROR(__xludf.DUMMYFUNCTION("""COMPUTED_VALUE"""),"AS-IG-MLP-IF2")</f>
        <v>AS-IG-MLP-IF2</v>
      </c>
      <c r="C88" s="9" t="str">
        <f ca="1">IFERROR(__xludf.DUMMYFUNCTION("""COMPUTED_VALUE"""),"Flex Migration")</f>
        <v>Flex Migration</v>
      </c>
      <c r="D88" s="8" t="str">
        <f ca="1">IFERROR(__xludf.DUMMYFUNCTION("""COMPUTED_VALUE"""),"One-Time")</f>
        <v>One-Time</v>
      </c>
      <c r="E88" s="9" t="str">
        <f ca="1">IFERROR(__xludf.DUMMYFUNCTION("""COMPUTED_VALUE"""),"Evolve Migration From Legacy Platform to Igloo Flex")</f>
        <v>Evolve Migration From Legacy Platform to Igloo Flex</v>
      </c>
      <c r="F88" s="10" t="str">
        <f ca="1">IFERROR(__xludf.DUMMYFUNCTION("""COMPUTED_VALUE"""),"EUR")</f>
        <v>EUR</v>
      </c>
      <c r="G88" s="10">
        <f ca="1">IFERROR(__xludf.DUMMYFUNCTION("""COMPUTED_VALUE"""),72647)</f>
        <v>72647</v>
      </c>
      <c r="H88" s="10">
        <f ca="1">IFERROR(__xludf.DUMMYFUNCTION("""COMPUTED_VALUE"""),72647)</f>
        <v>72647</v>
      </c>
    </row>
    <row r="89" spans="1:8">
      <c r="A89" s="8" t="str">
        <f ca="1">IFERROR(__xludf.DUMMYFUNCTION("""COMPUTED_VALUE"""),"AS-IG-M-PP-AF")</f>
        <v>AS-IG-M-PP-AF</v>
      </c>
      <c r="B89" s="8" t="str">
        <f ca="1">IFERROR(__xludf.DUMMYFUNCTION("""COMPUTED_VALUE"""),"AS-IG-M-PP-AF")</f>
        <v>AS-IG-M-PP-AF</v>
      </c>
      <c r="C89" s="9" t="str">
        <f ca="1">IFERROR(__xludf.DUMMYFUNCTION("""COMPUTED_VALUE"""),"Premium Profiles Implement")</f>
        <v>Premium Profiles Implement</v>
      </c>
      <c r="D89" s="8" t="str">
        <f ca="1">IFERROR(__xludf.DUMMYFUNCTION("""COMPUTED_VALUE"""),"One-Time")</f>
        <v>One-Time</v>
      </c>
      <c r="E89" s="9" t="str">
        <f ca="1">IFERROR(__xludf.DUMMYFUNCTION("""COMPUTED_VALUE"""),"Module: Premium Profiles - Additional Field Modification")</f>
        <v>Module: Premium Profiles - Additional Field Modification</v>
      </c>
      <c r="F89" s="10" t="str">
        <f ca="1">IFERROR(__xludf.DUMMYFUNCTION("""COMPUTED_VALUE"""),"EUR")</f>
        <v>EUR</v>
      </c>
      <c r="G89" s="10">
        <f ca="1">IFERROR(__xludf.DUMMYFUNCTION("""COMPUTED_VALUE"""),2422)</f>
        <v>2422</v>
      </c>
      <c r="H89" s="10">
        <f ca="1">IFERROR(__xludf.DUMMYFUNCTION("""COMPUTED_VALUE"""),2422)</f>
        <v>2422</v>
      </c>
    </row>
    <row r="90" spans="1:8">
      <c r="A90" s="8" t="str">
        <f ca="1">IFERROR(__xludf.DUMMYFUNCTION("""COMPUTED_VALUE"""),"AS-M-SEENSPIRE-CARDS")</f>
        <v>AS-M-SEENSPIRE-CARDS</v>
      </c>
      <c r="B90" s="8" t="str">
        <f ca="1">IFERROR(__xludf.DUMMYFUNCTION("""COMPUTED_VALUE"""),"Cards 25")</f>
        <v>Cards 25</v>
      </c>
      <c r="C90" s="9" t="str">
        <f ca="1">IFERROR(__xludf.DUMMYFUNCTION("""COMPUTED_VALUE"""),"Device Add-on")</f>
        <v>Device Add-on</v>
      </c>
      <c r="D90" s="8" t="str">
        <f ca="1">IFERROR(__xludf.DUMMYFUNCTION("""COMPUTED_VALUE"""),"Recurring")</f>
        <v>Recurring</v>
      </c>
      <c r="E90" s="9"/>
      <c r="F90" s="10" t="str">
        <f ca="1">IFERROR(__xludf.DUMMYFUNCTION("""COMPUTED_VALUE"""),"EUR")</f>
        <v>EUR</v>
      </c>
      <c r="G90" s="10">
        <f ca="1">IFERROR(__xludf.DUMMYFUNCTION("""COMPUTED_VALUE"""),21.31)</f>
        <v>21.31</v>
      </c>
      <c r="H90" s="10">
        <f ca="1">IFERROR(__xludf.DUMMYFUNCTION("""COMPUTED_VALUE"""),255.72)</f>
        <v>255.72</v>
      </c>
    </row>
    <row r="91" spans="1:8">
      <c r="A91" s="8" t="str">
        <f ca="1">IFERROR(__xludf.DUMMYFUNCTION("""COMPUTED_VALUE"""),"AS-M-SEENSPIRE-CARDS")</f>
        <v>AS-M-SEENSPIRE-CARDS</v>
      </c>
      <c r="B91" s="8" t="str">
        <f ca="1">IFERROR(__xludf.DUMMYFUNCTION("""COMPUTED_VALUE"""),"Cards 25")</f>
        <v>Cards 25</v>
      </c>
      <c r="C91" s="9" t="str">
        <f ca="1">IFERROR(__xludf.DUMMYFUNCTION("""COMPUTED_VALUE"""),"Platform")</f>
        <v>Platform</v>
      </c>
      <c r="D91" s="8" t="str">
        <f ca="1">IFERROR(__xludf.DUMMYFUNCTION("""COMPUTED_VALUE"""),"Recurring")</f>
        <v>Recurring</v>
      </c>
      <c r="E91" s="9"/>
      <c r="F91" s="10" t="str">
        <f ca="1">IFERROR(__xludf.DUMMYFUNCTION("""COMPUTED_VALUE"""),"EUR")</f>
        <v>EUR</v>
      </c>
      <c r="G91" s="10">
        <f ca="1">IFERROR(__xludf.DUMMYFUNCTION("""COMPUTED_VALUE"""),605)</f>
        <v>605</v>
      </c>
      <c r="H91" s="10">
        <f ca="1">IFERROR(__xludf.DUMMYFUNCTION("""COMPUTED_VALUE"""),7260)</f>
        <v>7260</v>
      </c>
    </row>
    <row r="92" spans="1:8">
      <c r="A92" s="8" t="str">
        <f ca="1">IFERROR(__xludf.DUMMYFUNCTION("""COMPUTED_VALUE"""),"AS-M-SEENSPIRE-CARDS")</f>
        <v>AS-M-SEENSPIRE-CARDS</v>
      </c>
      <c r="B92" s="8" t="str">
        <f ca="1">IFERROR(__xludf.DUMMYFUNCTION("""COMPUTED_VALUE"""),"Cards 50")</f>
        <v>Cards 50</v>
      </c>
      <c r="C92" s="9" t="str">
        <f ca="1">IFERROR(__xludf.DUMMYFUNCTION("""COMPUTED_VALUE"""),"Device Add-on")</f>
        <v>Device Add-on</v>
      </c>
      <c r="D92" s="8" t="str">
        <f ca="1">IFERROR(__xludf.DUMMYFUNCTION("""COMPUTED_VALUE"""),"Recurring")</f>
        <v>Recurring</v>
      </c>
      <c r="E92" s="9"/>
      <c r="F92" s="10" t="str">
        <f ca="1">IFERROR(__xludf.DUMMYFUNCTION("""COMPUTED_VALUE"""),"EUR")</f>
        <v>EUR</v>
      </c>
      <c r="G92" s="10">
        <f ca="1">IFERROR(__xludf.DUMMYFUNCTION("""COMPUTED_VALUE"""),21.31)</f>
        <v>21.31</v>
      </c>
      <c r="H92" s="10">
        <f ca="1">IFERROR(__xludf.DUMMYFUNCTION("""COMPUTED_VALUE"""),255.72)</f>
        <v>255.72</v>
      </c>
    </row>
    <row r="93" spans="1:8">
      <c r="A93" s="8" t="str">
        <f ca="1">IFERROR(__xludf.DUMMYFUNCTION("""COMPUTED_VALUE"""),"AS-M-SEENSPIRE-CARDS")</f>
        <v>AS-M-SEENSPIRE-CARDS</v>
      </c>
      <c r="B93" s="8" t="str">
        <f ca="1">IFERROR(__xludf.DUMMYFUNCTION("""COMPUTED_VALUE"""),"Cards 250")</f>
        <v>Cards 250</v>
      </c>
      <c r="C93" s="9" t="str">
        <f ca="1">IFERROR(__xludf.DUMMYFUNCTION("""COMPUTED_VALUE"""),"Device Add-on")</f>
        <v>Device Add-on</v>
      </c>
      <c r="D93" s="8" t="str">
        <f ca="1">IFERROR(__xludf.DUMMYFUNCTION("""COMPUTED_VALUE"""),"Recurring")</f>
        <v>Recurring</v>
      </c>
      <c r="E93" s="9"/>
      <c r="F93" s="10" t="str">
        <f ca="1">IFERROR(__xludf.DUMMYFUNCTION("""COMPUTED_VALUE"""),"EUR")</f>
        <v>EUR</v>
      </c>
      <c r="G93" s="8">
        <f ca="1">IFERROR(__xludf.DUMMYFUNCTION("""COMPUTED_VALUE"""),9.69)</f>
        <v>9.69</v>
      </c>
      <c r="H93" s="10">
        <f ca="1">IFERROR(__xludf.DUMMYFUNCTION("""COMPUTED_VALUE"""),116.28)</f>
        <v>116.28</v>
      </c>
    </row>
    <row r="94" spans="1:8">
      <c r="A94" s="8" t="str">
        <f ca="1">IFERROR(__xludf.DUMMYFUNCTION("""COMPUTED_VALUE"""),"AS-M-SEENSPIRE-CARDS")</f>
        <v>AS-M-SEENSPIRE-CARDS</v>
      </c>
      <c r="B94" s="8" t="str">
        <f ca="1">IFERROR(__xludf.DUMMYFUNCTION("""COMPUTED_VALUE"""),"Cards 1000")</f>
        <v>Cards 1000</v>
      </c>
      <c r="C94" s="9" t="str">
        <f ca="1">IFERROR(__xludf.DUMMYFUNCTION("""COMPUTED_VALUE"""),"Device Add-on")</f>
        <v>Device Add-on</v>
      </c>
      <c r="D94" s="8" t="str">
        <f ca="1">IFERROR(__xludf.DUMMYFUNCTION("""COMPUTED_VALUE"""),"Recurring")</f>
        <v>Recurring</v>
      </c>
      <c r="E94" s="9"/>
      <c r="F94" s="10" t="str">
        <f ca="1">IFERROR(__xludf.DUMMYFUNCTION("""COMPUTED_VALUE"""),"EUR")</f>
        <v>EUR</v>
      </c>
      <c r="G94" s="10">
        <f ca="1">IFERROR(__xludf.DUMMYFUNCTION("""COMPUTED_VALUE"""),4.84)</f>
        <v>4.84</v>
      </c>
      <c r="H94" s="10">
        <f ca="1">IFERROR(__xludf.DUMMYFUNCTION("""COMPUTED_VALUE"""),58.08)</f>
        <v>58.08</v>
      </c>
    </row>
    <row r="95" spans="1:8">
      <c r="A95" s="8" t="str">
        <f ca="1">IFERROR(__xludf.DUMMYFUNCTION("""COMPUTED_VALUE"""),"AS-M-SEENSPIRE-CARDS")</f>
        <v>AS-M-SEENSPIRE-CARDS</v>
      </c>
      <c r="B95" s="8" t="str">
        <f ca="1">IFERROR(__xludf.DUMMYFUNCTION("""COMPUTED_VALUE"""),"Cards 3000")</f>
        <v>Cards 3000</v>
      </c>
      <c r="C95" s="9" t="str">
        <f ca="1">IFERROR(__xludf.DUMMYFUNCTION("""COMPUTED_VALUE"""),"Device Add-on")</f>
        <v>Device Add-on</v>
      </c>
      <c r="D95" s="8" t="str">
        <f ca="1">IFERROR(__xludf.DUMMYFUNCTION("""COMPUTED_VALUE"""),"Recurring")</f>
        <v>Recurring</v>
      </c>
      <c r="E95" s="9"/>
      <c r="F95" s="10" t="str">
        <f ca="1">IFERROR(__xludf.DUMMYFUNCTION("""COMPUTED_VALUE"""),"EUR")</f>
        <v>EUR</v>
      </c>
      <c r="G95" s="10">
        <f ca="1">IFERROR(__xludf.DUMMYFUNCTION("""COMPUTED_VALUE"""),2.91)</f>
        <v>2.91</v>
      </c>
      <c r="H95" s="10">
        <f ca="1">IFERROR(__xludf.DUMMYFUNCTION("""COMPUTED_VALUE"""),34.92)</f>
        <v>34.92</v>
      </c>
    </row>
    <row r="96" spans="1:8">
      <c r="A96" s="8" t="str">
        <f ca="1">IFERROR(__xludf.DUMMYFUNCTION("""COMPUTED_VALUE"""),"AS-M-SEENSPIRE-CARDS")</f>
        <v>AS-M-SEENSPIRE-CARDS</v>
      </c>
      <c r="B96" s="8" t="str">
        <f ca="1">IFERROR(__xludf.DUMMYFUNCTION("""COMPUTED_VALUE"""),"Cards 50")</f>
        <v>Cards 50</v>
      </c>
      <c r="C96" s="9" t="str">
        <f ca="1">IFERROR(__xludf.DUMMYFUNCTION("""COMPUTED_VALUE"""),"Platform")</f>
        <v>Platform</v>
      </c>
      <c r="D96" s="8" t="str">
        <f ca="1">IFERROR(__xludf.DUMMYFUNCTION("""COMPUTED_VALUE"""),"Recurring")</f>
        <v>Recurring</v>
      </c>
      <c r="E96" s="9"/>
      <c r="F96" s="10" t="str">
        <f ca="1">IFERROR(__xludf.DUMMYFUNCTION("""COMPUTED_VALUE"""),"EUR")</f>
        <v>EUR</v>
      </c>
      <c r="G96" s="10">
        <f ca="1">IFERROR(__xludf.DUMMYFUNCTION("""COMPUTED_VALUE"""),1211)</f>
        <v>1211</v>
      </c>
      <c r="H96" s="10">
        <f ca="1">IFERROR(__xludf.DUMMYFUNCTION("""COMPUTED_VALUE"""),14532)</f>
        <v>14532</v>
      </c>
    </row>
    <row r="97" spans="1:8">
      <c r="A97" s="8" t="str">
        <f ca="1">IFERROR(__xludf.DUMMYFUNCTION("""COMPUTED_VALUE"""),"AS-M-SEENSPIRE-CARDS")</f>
        <v>AS-M-SEENSPIRE-CARDS</v>
      </c>
      <c r="B97" s="8" t="str">
        <f ca="1">IFERROR(__xludf.DUMMYFUNCTION("""COMPUTED_VALUE"""),"Cards 250")</f>
        <v>Cards 250</v>
      </c>
      <c r="C97" s="9" t="str">
        <f ca="1">IFERROR(__xludf.DUMMYFUNCTION("""COMPUTED_VALUE"""),"Platform")</f>
        <v>Platform</v>
      </c>
      <c r="D97" s="8" t="str">
        <f ca="1">IFERROR(__xludf.DUMMYFUNCTION("""COMPUTED_VALUE"""),"Recurring")</f>
        <v>Recurring</v>
      </c>
      <c r="E97" s="9"/>
      <c r="F97" s="10" t="str">
        <f ca="1">IFERROR(__xludf.DUMMYFUNCTION("""COMPUTED_VALUE"""),"EUR")</f>
        <v>EUR</v>
      </c>
      <c r="G97" s="10">
        <f ca="1">IFERROR(__xludf.DUMMYFUNCTION("""COMPUTED_VALUE"""),2664)</f>
        <v>2664</v>
      </c>
      <c r="H97" s="10">
        <f ca="1">IFERROR(__xludf.DUMMYFUNCTION("""COMPUTED_VALUE"""),31968)</f>
        <v>31968</v>
      </c>
    </row>
    <row r="98" spans="1:8">
      <c r="A98" s="8" t="str">
        <f ca="1">IFERROR(__xludf.DUMMYFUNCTION("""COMPUTED_VALUE"""),"AS-M-SEENSPIRE-CARDS")</f>
        <v>AS-M-SEENSPIRE-CARDS</v>
      </c>
      <c r="B98" s="8" t="str">
        <f ca="1">IFERROR(__xludf.DUMMYFUNCTION("""COMPUTED_VALUE"""),"Cards 1000")</f>
        <v>Cards 1000</v>
      </c>
      <c r="C98" s="9" t="str">
        <f ca="1">IFERROR(__xludf.DUMMYFUNCTION("""COMPUTED_VALUE"""),"Platform")</f>
        <v>Platform</v>
      </c>
      <c r="D98" s="8" t="str">
        <f ca="1">IFERROR(__xludf.DUMMYFUNCTION("""COMPUTED_VALUE"""),"Recurring")</f>
        <v>Recurring</v>
      </c>
      <c r="E98" s="9"/>
      <c r="F98" s="10" t="str">
        <f ca="1">IFERROR(__xludf.DUMMYFUNCTION("""COMPUTED_VALUE"""),"EUR")</f>
        <v>EUR</v>
      </c>
      <c r="G98" s="10">
        <f ca="1">IFERROR(__xludf.DUMMYFUNCTION("""COMPUTED_VALUE"""),4262)</f>
        <v>4262</v>
      </c>
      <c r="H98" s="10">
        <f ca="1">IFERROR(__xludf.DUMMYFUNCTION("""COMPUTED_VALUE"""),51144)</f>
        <v>51144</v>
      </c>
    </row>
    <row r="99" spans="1:8">
      <c r="A99" s="8" t="str">
        <f ca="1">IFERROR(__xludf.DUMMYFUNCTION("""COMPUTED_VALUE"""),"AS-M-SEENSPIRE-CARDS")</f>
        <v>AS-M-SEENSPIRE-CARDS</v>
      </c>
      <c r="B99" s="8" t="str">
        <f ca="1">IFERROR(__xludf.DUMMYFUNCTION("""COMPUTED_VALUE"""),"Cards 3000")</f>
        <v>Cards 3000</v>
      </c>
      <c r="C99" s="9" t="str">
        <f ca="1">IFERROR(__xludf.DUMMYFUNCTION("""COMPUTED_VALUE"""),"Platform")</f>
        <v>Platform</v>
      </c>
      <c r="D99" s="8" t="str">
        <f ca="1">IFERROR(__xludf.DUMMYFUNCTION("""COMPUTED_VALUE"""),"Recurring")</f>
        <v>Recurring</v>
      </c>
      <c r="E99" s="9"/>
      <c r="F99" s="10" t="str">
        <f ca="1">IFERROR(__xludf.DUMMYFUNCTION("""COMPUTED_VALUE"""),"EUR")</f>
        <v>EUR</v>
      </c>
      <c r="G99" s="10">
        <f ca="1">IFERROR(__xludf.DUMMYFUNCTION("""COMPUTED_VALUE"""),8524)</f>
        <v>8524</v>
      </c>
      <c r="H99" s="10">
        <f ca="1">IFERROR(__xludf.DUMMYFUNCTION("""COMPUTED_VALUE"""),102288)</f>
        <v>102288</v>
      </c>
    </row>
    <row r="100" spans="1:8">
      <c r="A100" s="8" t="str">
        <f ca="1">IFERROR(__xludf.DUMMYFUNCTION("""COMPUTED_VALUE"""),"AS-OMNI-C-CL")</f>
        <v>AS-OMNI-C-CL</v>
      </c>
      <c r="B100" s="8" t="str">
        <f ca="1">IFERROR(__xludf.DUMMYFUNCTION("""COMPUTED_VALUE"""),"Annual Plan AS-OMNI-C-CL")</f>
        <v>Annual Plan AS-OMNI-C-CL</v>
      </c>
      <c r="C100" s="9" t="str">
        <f ca="1">IFERROR(__xludf.DUMMYFUNCTION("""COMPUTED_VALUE"""),"Platform")</f>
        <v>Platform</v>
      </c>
      <c r="D100" s="8" t="str">
        <f ca="1">IFERROR(__xludf.DUMMYFUNCTION("""COMPUTED_VALUE"""),"Recurring")</f>
        <v>Recurring</v>
      </c>
      <c r="E100" s="9" t="str">
        <f ca="1">IFERROR(__xludf.DUMMYFUNCTION("""COMPUTED_VALUE"""),"Appspace Cloud Subscription. Appspace Cloud access to all Appspace platform features for 50 devices, Premium Support, 50 GB cloud storage, and 50 GB/month cloud bandwidth.")</f>
        <v>Appspace Cloud Subscription. Appspace Cloud access to all Appspace platform features for 50 devices, Premium Support, 50 GB cloud storage, and 50 GB/month cloud bandwidth.</v>
      </c>
      <c r="F100" s="10" t="str">
        <f ca="1">IFERROR(__xludf.DUMMYFUNCTION("""COMPUTED_VALUE"""),"EUR")</f>
        <v>EUR</v>
      </c>
      <c r="G100" s="10">
        <f ca="1">IFERROR(__xludf.DUMMYFUNCTION("""COMPUTED_VALUE"""),1937)</f>
        <v>1937</v>
      </c>
      <c r="H100" s="10">
        <f ca="1">IFERROR(__xludf.DUMMYFUNCTION("""COMPUTED_VALUE"""),23244)</f>
        <v>23244</v>
      </c>
    </row>
    <row r="101" spans="1:8">
      <c r="A101" s="8" t="str">
        <f ca="1">IFERROR(__xludf.DUMMYFUNCTION("""COMPUTED_VALUE"""),"AS-OMNI-C-CL-EDU")</f>
        <v>AS-OMNI-C-CL-EDU</v>
      </c>
      <c r="B101" s="8" t="str">
        <f ca="1">IFERROR(__xludf.DUMMYFUNCTION("""COMPUTED_VALUE"""),"Annual Plan AS-OMNI-C-CL-EDU")</f>
        <v>Annual Plan AS-OMNI-C-CL-EDU</v>
      </c>
      <c r="C101" s="9" t="str">
        <f ca="1">IFERROR(__xludf.DUMMYFUNCTION("""COMPUTED_VALUE"""),"Platform")</f>
        <v>Platform</v>
      </c>
      <c r="D101" s="8" t="str">
        <f ca="1">IFERROR(__xludf.DUMMYFUNCTION("""COMPUTED_VALUE"""),"Recurring")</f>
        <v>Recurring</v>
      </c>
      <c r="E101" s="9" t="str">
        <f ca="1">IFERROR(__xludf.DUMMYFUNCTION("""COMPUTED_VALUE"""),"Appspace Education Cloud Subscription. Appspace Cloud access to all Appspace platform features for 50 devices, Premium Support, 50 GB cloud storage, and 50 GB/month cloud bandwidth.")</f>
        <v>Appspace Education Cloud Subscription. Appspace Cloud access to all Appspace platform features for 50 devices, Premium Support, 50 GB cloud storage, and 50 GB/month cloud bandwidth.</v>
      </c>
      <c r="F101" s="10" t="str">
        <f ca="1">IFERROR(__xludf.DUMMYFUNCTION("""COMPUTED_VALUE"""),"EUR")</f>
        <v>EUR</v>
      </c>
      <c r="G101" s="10">
        <f ca="1">IFERROR(__xludf.DUMMYFUNCTION("""COMPUTED_VALUE"""),1744)</f>
        <v>1744</v>
      </c>
      <c r="H101" s="10">
        <f ca="1">IFERROR(__xludf.DUMMYFUNCTION("""COMPUTED_VALUE"""),20928)</f>
        <v>20928</v>
      </c>
    </row>
    <row r="102" spans="1:8">
      <c r="A102" s="8" t="str">
        <f ca="1">IFERROR(__xludf.DUMMYFUNCTION("""COMPUTED_VALUE"""),"AS-OMNI-C-OP")</f>
        <v>AS-OMNI-C-OP</v>
      </c>
      <c r="B102" s="8" t="str">
        <f ca="1">IFERROR(__xludf.DUMMYFUNCTION("""COMPUTED_VALUE"""),"Annual Plan AS-OMNI-C-OP")</f>
        <v>Annual Plan AS-OMNI-C-OP</v>
      </c>
      <c r="C102" s="9" t="str">
        <f ca="1">IFERROR(__xludf.DUMMYFUNCTION("""COMPUTED_VALUE"""),"Platform")</f>
        <v>Platform</v>
      </c>
      <c r="D102" s="8" t="str">
        <f ca="1">IFERROR(__xludf.DUMMYFUNCTION("""COMPUTED_VALUE"""),"Recurring")</f>
        <v>Recurring</v>
      </c>
      <c r="E102" s="9" t="str">
        <f ca="1">IFERROR(__xludf.DUMMYFUNCTION("""COMPUTED_VALUE"""),"Appspace On-Prem Subscription. Self-managed on-prem, cloud or hybrid access to all Appspace platform features for 50 devices, Premium Support, 50 GB cloud storage, and 50 GB/month cloud bandwidth.")</f>
        <v>Appspace On-Prem Subscription. Self-managed on-prem, cloud or hybrid access to all Appspace platform features for 50 devices, Premium Support, 50 GB cloud storage, and 50 GB/month cloud bandwidth.</v>
      </c>
      <c r="F102" s="10" t="str">
        <f ca="1">IFERROR(__xludf.DUMMYFUNCTION("""COMPUTED_VALUE"""),"EUR")</f>
        <v>EUR</v>
      </c>
      <c r="G102" s="10">
        <f ca="1">IFERROR(__xludf.DUMMYFUNCTION("""COMPUTED_VALUE"""),3875)</f>
        <v>3875</v>
      </c>
      <c r="H102" s="10">
        <f ca="1">IFERROR(__xludf.DUMMYFUNCTION("""COMPUTED_VALUE"""),46500)</f>
        <v>46500</v>
      </c>
    </row>
    <row r="103" spans="1:8">
      <c r="A103" s="8" t="str">
        <f ca="1">IFERROR(__xludf.DUMMYFUNCTION("""COMPUTED_VALUE"""),"AS-OMNI-C-PV")</f>
        <v>AS-OMNI-C-PV</v>
      </c>
      <c r="B103" s="8" t="str">
        <f ca="1">IFERROR(__xludf.DUMMYFUNCTION("""COMPUTED_VALUE"""),"Annual Plan AS-OMNI-C-PV")</f>
        <v>Annual Plan AS-OMNI-C-PV</v>
      </c>
      <c r="C103" s="9" t="str">
        <f ca="1">IFERROR(__xludf.DUMMYFUNCTION("""COMPUTED_VALUE"""),"Platform")</f>
        <v>Platform</v>
      </c>
      <c r="D103" s="8" t="str">
        <f ca="1">IFERROR(__xludf.DUMMYFUNCTION("""COMPUTED_VALUE"""),"Recurring")</f>
        <v>Recurring</v>
      </c>
      <c r="E103" s="9" t="str">
        <f ca="1">IFERROR(__xludf.DUMMYFUNCTION("""COMPUTED_VALUE"""),"Appspace Private Cloud Subscription. Appspace private cloud instance access to all Appspace platform features for 50 devices, Premium Support, 100 GB cloud storage, and 100 GB/month cloud bandwidth.")</f>
        <v>Appspace Private Cloud Subscription. Appspace private cloud instance access to all Appspace platform features for 50 devices, Premium Support, 100 GB cloud storage, and 100 GB/month cloud bandwidth.</v>
      </c>
      <c r="F103" s="10" t="str">
        <f ca="1">IFERROR(__xludf.DUMMYFUNCTION("""COMPUTED_VALUE"""),"EUR")</f>
        <v>EUR</v>
      </c>
      <c r="G103" s="10">
        <f ca="1">IFERROR(__xludf.DUMMYFUNCTION("""COMPUTED_VALUE"""),2906)</f>
        <v>2906</v>
      </c>
      <c r="H103" s="10">
        <f ca="1">IFERROR(__xludf.DUMMYFUNCTION("""COMPUTED_VALUE"""),34872)</f>
        <v>34872</v>
      </c>
    </row>
    <row r="104" spans="1:8">
      <c r="A104" s="8" t="str">
        <f ca="1">IFERROR(__xludf.DUMMYFUNCTION("""COMPUTED_VALUE"""),"AS-OMNI-C-PV-EDU")</f>
        <v>AS-OMNI-C-PV-EDU</v>
      </c>
      <c r="B104" s="8" t="str">
        <f ca="1">IFERROR(__xludf.DUMMYFUNCTION("""COMPUTED_VALUE"""),"Annual Plan AS-OMNI-C-PV-EDU")</f>
        <v>Annual Plan AS-OMNI-C-PV-EDU</v>
      </c>
      <c r="C104" s="9" t="str">
        <f ca="1">IFERROR(__xludf.DUMMYFUNCTION("""COMPUTED_VALUE"""),"Platform")</f>
        <v>Platform</v>
      </c>
      <c r="D104" s="8" t="str">
        <f ca="1">IFERROR(__xludf.DUMMYFUNCTION("""COMPUTED_VALUE"""),"Recurring")</f>
        <v>Recurring</v>
      </c>
      <c r="E104" s="9" t="str">
        <f ca="1">IFERROR(__xludf.DUMMYFUNCTION("""COMPUTED_VALUE"""),"Appspace Education Private Cloud Subscription. Appspace private cloud instance access to all Appspace platform features for 50 devices, Premium Support, 100 GB cloud storage, and 100 GB/month cloud bandwidth.")</f>
        <v>Appspace Education Private Cloud Subscription. Appspace private cloud instance access to all Appspace platform features for 50 devices, Premium Support, 100 GB cloud storage, and 100 GB/month cloud bandwidth.</v>
      </c>
      <c r="F104" s="10" t="str">
        <f ca="1">IFERROR(__xludf.DUMMYFUNCTION("""COMPUTED_VALUE"""),"EUR")</f>
        <v>EUR</v>
      </c>
      <c r="G104" s="10">
        <f ca="1">IFERROR(__xludf.DUMMYFUNCTION("""COMPUTED_VALUE"""),2615)</f>
        <v>2615</v>
      </c>
      <c r="H104" s="10">
        <f ca="1">IFERROR(__xludf.DUMMYFUNCTION("""COMPUTED_VALUE"""),31380)</f>
        <v>31380</v>
      </c>
    </row>
    <row r="105" spans="1:8">
      <c r="A105" s="8" t="str">
        <f ca="1">IFERROR(__xludf.DUMMYFUNCTION("""COMPUTED_VALUE"""),"AS-OMNI-D2-CL")</f>
        <v>AS-OMNI-D2-CL</v>
      </c>
      <c r="B105" s="8" t="str">
        <f ca="1">IFERROR(__xludf.DUMMYFUNCTION("""COMPUTED_VALUE"""),"Annual Plan AS-OMNI-D2-CL")</f>
        <v>Annual Plan AS-OMNI-D2-CL</v>
      </c>
      <c r="C105" s="9" t="str">
        <f ca="1">IFERROR(__xludf.DUMMYFUNCTION("""COMPUTED_VALUE"""),"Platform")</f>
        <v>Platform</v>
      </c>
      <c r="D105" s="8" t="str">
        <f ca="1">IFERROR(__xludf.DUMMYFUNCTION("""COMPUTED_VALUE"""),"Recurring")</f>
        <v>Recurring</v>
      </c>
      <c r="E105" s="9" t="str">
        <f ca="1">IFERROR(__xludf.DUMMYFUNCTION("""COMPUTED_VALUE"""),"Appspace Cloud Subscription. Appspace Cloud access to all Appspace platform features for 500 devices, Premium Support, 500 GB cloud storage, and 500 GB/month cloud bandwidth.")</f>
        <v>Appspace Cloud Subscription. Appspace Cloud access to all Appspace platform features for 500 devices, Premium Support, 500 GB cloud storage, and 500 GB/month cloud bandwidth.</v>
      </c>
      <c r="F105" s="10" t="str">
        <f ca="1">IFERROR(__xludf.DUMMYFUNCTION("""COMPUTED_VALUE"""),"EUR")</f>
        <v>EUR</v>
      </c>
      <c r="G105" s="10">
        <f ca="1">IFERROR(__xludf.DUMMYFUNCTION("""COMPUTED_VALUE"""),7168)</f>
        <v>7168</v>
      </c>
      <c r="H105" s="10">
        <f ca="1">IFERROR(__xludf.DUMMYFUNCTION("""COMPUTED_VALUE"""),86016)</f>
        <v>86016</v>
      </c>
    </row>
    <row r="106" spans="1:8">
      <c r="A106" s="8" t="str">
        <f ca="1">IFERROR(__xludf.DUMMYFUNCTION("""COMPUTED_VALUE"""),"AS-OMNI-D2-OP")</f>
        <v>AS-OMNI-D2-OP</v>
      </c>
      <c r="B106" s="8" t="str">
        <f ca="1">IFERROR(__xludf.DUMMYFUNCTION("""COMPUTED_VALUE"""),"Annual Plan AS-OMNI-D2-OP")</f>
        <v>Annual Plan AS-OMNI-D2-OP</v>
      </c>
      <c r="C106" s="9" t="str">
        <f ca="1">IFERROR(__xludf.DUMMYFUNCTION("""COMPUTED_VALUE"""),"Platform")</f>
        <v>Platform</v>
      </c>
      <c r="D106" s="8" t="str">
        <f ca="1">IFERROR(__xludf.DUMMYFUNCTION("""COMPUTED_VALUE"""),"Recurring")</f>
        <v>Recurring</v>
      </c>
      <c r="E106" s="9" t="str">
        <f ca="1">IFERROR(__xludf.DUMMYFUNCTION("""COMPUTED_VALUE"""),"Appspace On-Prem Subscription. Self-managed on-prem, cloud or hybrid access to all Appspace platform features for 500 devices, Premium Support, 500 GB cloud storage, and 500 GB/month cloud bandwidth.")</f>
        <v>Appspace On-Prem Subscription. Self-managed on-prem, cloud or hybrid access to all Appspace platform features for 500 devices, Premium Support, 500 GB cloud storage, and 500 GB/month cloud bandwidth.</v>
      </c>
      <c r="F106" s="10" t="str">
        <f ca="1">IFERROR(__xludf.DUMMYFUNCTION("""COMPUTED_VALUE"""),"EUR")</f>
        <v>EUR</v>
      </c>
      <c r="G106" s="10">
        <f ca="1">IFERROR(__xludf.DUMMYFUNCTION("""COMPUTED_VALUE"""),14336)</f>
        <v>14336</v>
      </c>
      <c r="H106" s="10">
        <f ca="1">IFERROR(__xludf.DUMMYFUNCTION("""COMPUTED_VALUE"""),172032)</f>
        <v>172032</v>
      </c>
    </row>
    <row r="107" spans="1:8">
      <c r="A107" s="8" t="str">
        <f ca="1">IFERROR(__xludf.DUMMYFUNCTION("""COMPUTED_VALUE"""),"AS-OMNI-D2-PV")</f>
        <v>AS-OMNI-D2-PV</v>
      </c>
      <c r="B107" s="8" t="str">
        <f ca="1">IFERROR(__xludf.DUMMYFUNCTION("""COMPUTED_VALUE"""),"Annual Plan AS-OMNI-D2-PV")</f>
        <v>Annual Plan AS-OMNI-D2-PV</v>
      </c>
      <c r="C107" s="9" t="str">
        <f ca="1">IFERROR(__xludf.DUMMYFUNCTION("""COMPUTED_VALUE"""),"Platform")</f>
        <v>Platform</v>
      </c>
      <c r="D107" s="8" t="str">
        <f ca="1">IFERROR(__xludf.DUMMYFUNCTION("""COMPUTED_VALUE"""),"Recurring")</f>
        <v>Recurring</v>
      </c>
      <c r="E107" s="9" t="str">
        <f ca="1">IFERROR(__xludf.DUMMYFUNCTION("""COMPUTED_VALUE"""),"Appspace Private Cloud Subscription. Appspace private cloud instance access to all Appspace platform features for 500 devices, Premium Support, 1000 GB cloud storage, and 1000GB/month cloud bandwidth.")</f>
        <v>Appspace Private Cloud Subscription. Appspace private cloud instance access to all Appspace platform features for 500 devices, Premium Support, 1000 GB cloud storage, and 1000GB/month cloud bandwidth.</v>
      </c>
      <c r="F107" s="10" t="str">
        <f ca="1">IFERROR(__xludf.DUMMYFUNCTION("""COMPUTED_VALUE"""),"EUR")</f>
        <v>EUR</v>
      </c>
      <c r="G107" s="10">
        <f ca="1">IFERROR(__xludf.DUMMYFUNCTION("""COMPUTED_VALUE"""),10752)</f>
        <v>10752</v>
      </c>
      <c r="H107" s="10">
        <f ca="1">IFERROR(__xludf.DUMMYFUNCTION("""COMPUTED_VALUE"""),129024)</f>
        <v>129024</v>
      </c>
    </row>
    <row r="108" spans="1:8">
      <c r="A108" s="8" t="str">
        <f ca="1">IFERROR(__xludf.DUMMYFUNCTION("""COMPUTED_VALUE"""),"AS-OMNI-D-CL")</f>
        <v>AS-OMNI-D-CL</v>
      </c>
      <c r="B108" s="8" t="str">
        <f ca="1">IFERROR(__xludf.DUMMYFUNCTION("""COMPUTED_VALUE"""),"Annual Plan AS-OMNI-D-CL")</f>
        <v>Annual Plan AS-OMNI-D-CL</v>
      </c>
      <c r="C108" s="9" t="str">
        <f ca="1">IFERROR(__xludf.DUMMYFUNCTION("""COMPUTED_VALUE"""),"Platform")</f>
        <v>Platform</v>
      </c>
      <c r="D108" s="8" t="str">
        <f ca="1">IFERROR(__xludf.DUMMYFUNCTION("""COMPUTED_VALUE"""),"Recurring")</f>
        <v>Recurring</v>
      </c>
      <c r="E108" s="9" t="str">
        <f ca="1">IFERROR(__xludf.DUMMYFUNCTION("""COMPUTED_VALUE"""),"Appspace Cloud Subscription. Appspace Cloud access to all Appspace platform features for 250 devices, Premium Support, 250 GB cloud storage, and 250 GB/month cloud bandwidth.")</f>
        <v>Appspace Cloud Subscription. Appspace Cloud access to all Appspace platform features for 250 devices, Premium Support, 250 GB cloud storage, and 250 GB/month cloud bandwidth.</v>
      </c>
      <c r="F108" s="10" t="str">
        <f ca="1">IFERROR(__xludf.DUMMYFUNCTION("""COMPUTED_VALUE"""),"EUR")</f>
        <v>EUR</v>
      </c>
      <c r="G108" s="10">
        <f ca="1">IFERROR(__xludf.DUMMYFUNCTION("""COMPUTED_VALUE"""),5240)</f>
        <v>5240</v>
      </c>
      <c r="H108" s="10">
        <f ca="1">IFERROR(__xludf.DUMMYFUNCTION("""COMPUTED_VALUE"""),62880)</f>
        <v>62880</v>
      </c>
    </row>
    <row r="109" spans="1:8">
      <c r="A109" s="8" t="str">
        <f ca="1">IFERROR(__xludf.DUMMYFUNCTION("""COMPUTED_VALUE"""),"AS-OMNI-D-CL-EDU")</f>
        <v>AS-OMNI-D-CL-EDU</v>
      </c>
      <c r="B109" s="8" t="str">
        <f ca="1">IFERROR(__xludf.DUMMYFUNCTION("""COMPUTED_VALUE"""),"Annual Plan AS-OMNI-D-CL-EDU")</f>
        <v>Annual Plan AS-OMNI-D-CL-EDU</v>
      </c>
      <c r="C109" s="9" t="str">
        <f ca="1">IFERROR(__xludf.DUMMYFUNCTION("""COMPUTED_VALUE"""),"Platform")</f>
        <v>Platform</v>
      </c>
      <c r="D109" s="8" t="str">
        <f ca="1">IFERROR(__xludf.DUMMYFUNCTION("""COMPUTED_VALUE"""),"Recurring")</f>
        <v>Recurring</v>
      </c>
      <c r="E109" s="9" t="str">
        <f ca="1">IFERROR(__xludf.DUMMYFUNCTION("""COMPUTED_VALUE"""),"Appspace Education Cloud Subscription. Appspace Cloud access to all Appspace platform features for 250 devices, Premium Support, 250 GB cloud storage, and 250 GB/month cloud bandwidth.")</f>
        <v>Appspace Education Cloud Subscription. Appspace Cloud access to all Appspace platform features for 250 devices, Premium Support, 250 GB cloud storage, and 250 GB/month cloud bandwidth.</v>
      </c>
      <c r="F109" s="10" t="str">
        <f ca="1">IFERROR(__xludf.DUMMYFUNCTION("""COMPUTED_VALUE"""),"EUR")</f>
        <v>EUR</v>
      </c>
      <c r="G109" s="8">
        <f ca="1">IFERROR(__xludf.DUMMYFUNCTION("""COMPUTED_VALUE"""),4716)</f>
        <v>4716</v>
      </c>
      <c r="H109" s="10">
        <f ca="1">IFERROR(__xludf.DUMMYFUNCTION("""COMPUTED_VALUE"""),56592)</f>
        <v>56592</v>
      </c>
    </row>
    <row r="110" spans="1:8">
      <c r="A110" s="8" t="str">
        <f ca="1">IFERROR(__xludf.DUMMYFUNCTION("""COMPUTED_VALUE"""),"AS-OMNI-D-OP")</f>
        <v>AS-OMNI-D-OP</v>
      </c>
      <c r="B110" s="8" t="str">
        <f ca="1">IFERROR(__xludf.DUMMYFUNCTION("""COMPUTED_VALUE"""),"Annual Plan AS-OMNI-D-OP")</f>
        <v>Annual Plan AS-OMNI-D-OP</v>
      </c>
      <c r="C110" s="9" t="str">
        <f ca="1">IFERROR(__xludf.DUMMYFUNCTION("""COMPUTED_VALUE"""),"Platform")</f>
        <v>Platform</v>
      </c>
      <c r="D110" s="8" t="str">
        <f ca="1">IFERROR(__xludf.DUMMYFUNCTION("""COMPUTED_VALUE"""),"Recurring")</f>
        <v>Recurring</v>
      </c>
      <c r="E110" s="9" t="str">
        <f ca="1">IFERROR(__xludf.DUMMYFUNCTION("""COMPUTED_VALUE"""),"Appspace On-Prem Subscription. Self-managed on-prem, cloud or hybrid access to all Appspace platform features for 250 devices, Premium Support, 250 GB cloud storage, and 250 GB/month cloud bandwidth.")</f>
        <v>Appspace On-Prem Subscription. Self-managed on-prem, cloud or hybrid access to all Appspace platform features for 250 devices, Premium Support, 250 GB cloud storage, and 250 GB/month cloud bandwidth.</v>
      </c>
      <c r="F110" s="10" t="str">
        <f ca="1">IFERROR(__xludf.DUMMYFUNCTION("""COMPUTED_VALUE"""),"EUR")</f>
        <v>EUR</v>
      </c>
      <c r="G110" s="8">
        <f ca="1">IFERROR(__xludf.DUMMYFUNCTION("""COMPUTED_VALUE"""),10481)</f>
        <v>10481</v>
      </c>
      <c r="H110" s="10">
        <f ca="1">IFERROR(__xludf.DUMMYFUNCTION("""COMPUTED_VALUE"""),125772)</f>
        <v>125772</v>
      </c>
    </row>
    <row r="111" spans="1:8">
      <c r="A111" s="8" t="str">
        <f ca="1">IFERROR(__xludf.DUMMYFUNCTION("""COMPUTED_VALUE"""),"AS-OMNI-D-PV")</f>
        <v>AS-OMNI-D-PV</v>
      </c>
      <c r="B111" s="8" t="str">
        <f ca="1">IFERROR(__xludf.DUMMYFUNCTION("""COMPUTED_VALUE"""),"Annual Plan AS-OMNI-D-PV")</f>
        <v>Annual Plan AS-OMNI-D-PV</v>
      </c>
      <c r="C111" s="9" t="str">
        <f ca="1">IFERROR(__xludf.DUMMYFUNCTION("""COMPUTED_VALUE"""),"Platform")</f>
        <v>Platform</v>
      </c>
      <c r="D111" s="8" t="str">
        <f ca="1">IFERROR(__xludf.DUMMYFUNCTION("""COMPUTED_VALUE"""),"Recurring")</f>
        <v>Recurring</v>
      </c>
      <c r="E111" s="9" t="str">
        <f ca="1">IFERROR(__xludf.DUMMYFUNCTION("""COMPUTED_VALUE"""),"Appspace Private Cloud Subscription. Appspace private cloud instance access to all Appspace platform features for 250 devices, Premium Support, 500 GB cloud storage, and 500GB/month cloud bandwidth.")</f>
        <v>Appspace Private Cloud Subscription. Appspace private cloud instance access to all Appspace platform features for 250 devices, Premium Support, 500 GB cloud storage, and 500GB/month cloud bandwidth.</v>
      </c>
      <c r="F111" s="8" t="str">
        <f ca="1">IFERROR(__xludf.DUMMYFUNCTION("""COMPUTED_VALUE"""),"EUR")</f>
        <v>EUR</v>
      </c>
      <c r="G111" s="8">
        <f ca="1">IFERROR(__xludf.DUMMYFUNCTION("""COMPUTED_VALUE"""),7860)</f>
        <v>7860</v>
      </c>
      <c r="H111" s="10">
        <f ca="1">IFERROR(__xludf.DUMMYFUNCTION("""COMPUTED_VALUE"""),94320)</f>
        <v>94320</v>
      </c>
    </row>
    <row r="112" spans="1:8">
      <c r="A112" s="8" t="str">
        <f ca="1">IFERROR(__xludf.DUMMYFUNCTION("""COMPUTED_VALUE"""),"AS-OMNI-D-PV-EDU")</f>
        <v>AS-OMNI-D-PV-EDU</v>
      </c>
      <c r="B112" s="8" t="str">
        <f ca="1">IFERROR(__xludf.DUMMYFUNCTION("""COMPUTED_VALUE"""),"Annual Plan AS-OMNI-D-PV-EDU")</f>
        <v>Annual Plan AS-OMNI-D-PV-EDU</v>
      </c>
      <c r="C112" s="9" t="str">
        <f ca="1">IFERROR(__xludf.DUMMYFUNCTION("""COMPUTED_VALUE"""),"Platform")</f>
        <v>Platform</v>
      </c>
      <c r="D112" s="8" t="str">
        <f ca="1">IFERROR(__xludf.DUMMYFUNCTION("""COMPUTED_VALUE"""),"Recurring")</f>
        <v>Recurring</v>
      </c>
      <c r="E112" s="9" t="str">
        <f ca="1">IFERROR(__xludf.DUMMYFUNCTION("""COMPUTED_VALUE"""),"Appspace Education Private Cloud Subscription. Appspace private cloud instance access to all Appspace platform features for 250 devices, Premium Support, 500 GB cloud storage, and 500GB/month cloud bandwidth.")</f>
        <v>Appspace Education Private Cloud Subscription. Appspace private cloud instance access to all Appspace platform features for 250 devices, Premium Support, 500 GB cloud storage, and 500GB/month cloud bandwidth.</v>
      </c>
      <c r="F112" s="10" t="str">
        <f ca="1">IFERROR(__xludf.DUMMYFUNCTION("""COMPUTED_VALUE"""),"EUR")</f>
        <v>EUR</v>
      </c>
      <c r="G112" s="8">
        <f ca="1">IFERROR(__xludf.DUMMYFUNCTION("""COMPUTED_VALUE"""),7075)</f>
        <v>7075</v>
      </c>
      <c r="H112" s="10">
        <f ca="1">IFERROR(__xludf.DUMMYFUNCTION("""COMPUTED_VALUE"""),84900)</f>
        <v>84900</v>
      </c>
    </row>
    <row r="113" spans="1:8">
      <c r="A113" s="8" t="str">
        <f ca="1">IFERROR(__xludf.DUMMYFUNCTION("""COMPUTED_VALUE"""),"AS-OMNI-E2-CL")</f>
        <v>AS-OMNI-E2-CL</v>
      </c>
      <c r="B113" s="8" t="str">
        <f ca="1">IFERROR(__xludf.DUMMYFUNCTION("""COMPUTED_VALUE"""),"Annual Plan AS-OMNI-E2-CL")</f>
        <v>Annual Plan AS-OMNI-E2-CL</v>
      </c>
      <c r="C113" s="9" t="str">
        <f ca="1">IFERROR(__xludf.DUMMYFUNCTION("""COMPUTED_VALUE"""),"Platform")</f>
        <v>Platform</v>
      </c>
      <c r="D113" s="8" t="str">
        <f ca="1">IFERROR(__xludf.DUMMYFUNCTION("""COMPUTED_VALUE"""),"Recurring")</f>
        <v>Recurring</v>
      </c>
      <c r="E113" s="9" t="str">
        <f ca="1">IFERROR(__xludf.DUMMYFUNCTION("""COMPUTED_VALUE"""),"Appspace Cloud Subscription. Appspace Cloud access to all Appspace platform features for 2,000 devices, Elite Support, 2,000 GB cloud storage, and 2,000 GB/month cloud bandwidth.")</f>
        <v>Appspace Cloud Subscription. Appspace Cloud access to all Appspace platform features for 2,000 devices, Elite Support, 2,000 GB cloud storage, and 2,000 GB/month cloud bandwidth.</v>
      </c>
      <c r="F113" s="10" t="str">
        <f ca="1">IFERROR(__xludf.DUMMYFUNCTION("""COMPUTED_VALUE"""),"EUR")</f>
        <v>EUR</v>
      </c>
      <c r="G113" s="8">
        <f ca="1">IFERROR(__xludf.DUMMYFUNCTION("""COMPUTED_VALUE"""),16554)</f>
        <v>16554</v>
      </c>
      <c r="H113" s="10">
        <f ca="1">IFERROR(__xludf.DUMMYFUNCTION("""COMPUTED_VALUE"""),198648)</f>
        <v>198648</v>
      </c>
    </row>
    <row r="114" spans="1:8">
      <c r="A114" s="8" t="str">
        <f ca="1">IFERROR(__xludf.DUMMYFUNCTION("""COMPUTED_VALUE"""),"AS-OMNI-E2-OP")</f>
        <v>AS-OMNI-E2-OP</v>
      </c>
      <c r="B114" s="8" t="str">
        <f ca="1">IFERROR(__xludf.DUMMYFUNCTION("""COMPUTED_VALUE"""),"Annual Plan AS-OMNI-E2-OP")</f>
        <v>Annual Plan AS-OMNI-E2-OP</v>
      </c>
      <c r="C114" s="9" t="str">
        <f ca="1">IFERROR(__xludf.DUMMYFUNCTION("""COMPUTED_VALUE"""),"Platform")</f>
        <v>Platform</v>
      </c>
      <c r="D114" s="8" t="str">
        <f ca="1">IFERROR(__xludf.DUMMYFUNCTION("""COMPUTED_VALUE"""),"Recurring")</f>
        <v>Recurring</v>
      </c>
      <c r="E114" s="9" t="str">
        <f ca="1">IFERROR(__xludf.DUMMYFUNCTION("""COMPUTED_VALUE"""),"Appspace On-Prem Subscription. Self-managed on-prem, cloud or hybrid access to all Appspace platform features for 2,000 devices, Elite Support, 2,000 GB cloud storage, and 2,000 GB/month cloud bandwidth.")</f>
        <v>Appspace On-Prem Subscription. Self-managed on-prem, cloud or hybrid access to all Appspace platform features for 2,000 devices, Elite Support, 2,000 GB cloud storage, and 2,000 GB/month cloud bandwidth.</v>
      </c>
      <c r="F114" s="10" t="str">
        <f ca="1">IFERROR(__xludf.DUMMYFUNCTION("""COMPUTED_VALUE"""),"EUR")</f>
        <v>EUR</v>
      </c>
      <c r="G114" s="8">
        <f ca="1">IFERROR(__xludf.DUMMYFUNCTION("""COMPUTED_VALUE"""),33108)</f>
        <v>33108</v>
      </c>
      <c r="H114" s="10">
        <f ca="1">IFERROR(__xludf.DUMMYFUNCTION("""COMPUTED_VALUE"""),397296)</f>
        <v>397296</v>
      </c>
    </row>
    <row r="115" spans="1:8">
      <c r="A115" s="8" t="str">
        <f ca="1">IFERROR(__xludf.DUMMYFUNCTION("""COMPUTED_VALUE"""),"AS-OMNI-E2-PV")</f>
        <v>AS-OMNI-E2-PV</v>
      </c>
      <c r="B115" s="8" t="str">
        <f ca="1">IFERROR(__xludf.DUMMYFUNCTION("""COMPUTED_VALUE"""),"Annual Plan AS-OMNI-E2-PV")</f>
        <v>Annual Plan AS-OMNI-E2-PV</v>
      </c>
      <c r="C115" s="9" t="str">
        <f ca="1">IFERROR(__xludf.DUMMYFUNCTION("""COMPUTED_VALUE"""),"Platform")</f>
        <v>Platform</v>
      </c>
      <c r="D115" s="8" t="str">
        <f ca="1">IFERROR(__xludf.DUMMYFUNCTION("""COMPUTED_VALUE"""),"Recurring")</f>
        <v>Recurring</v>
      </c>
      <c r="E115" s="9" t="str">
        <f ca="1">IFERROR(__xludf.DUMMYFUNCTION("""COMPUTED_VALUE"""),"Appspace Private Cloud Subscription. Appspace private cloud instance access to all Appspace platform features for 2,000 devices, Elite Support, 4,000 GB cloud storage, and 4,000 GB/month cloud bandwidth.")</f>
        <v>Appspace Private Cloud Subscription. Appspace private cloud instance access to all Appspace platform features for 2,000 devices, Elite Support, 4,000 GB cloud storage, and 4,000 GB/month cloud bandwidth.</v>
      </c>
      <c r="F115" s="10" t="str">
        <f ca="1">IFERROR(__xludf.DUMMYFUNCTION("""COMPUTED_VALUE"""),"EUR")</f>
        <v>EUR</v>
      </c>
      <c r="G115" s="8">
        <f ca="1">IFERROR(__xludf.DUMMYFUNCTION("""COMPUTED_VALUE"""),24831)</f>
        <v>24831</v>
      </c>
      <c r="H115" s="10">
        <f ca="1">IFERROR(__xludf.DUMMYFUNCTION("""COMPUTED_VALUE"""),297972)</f>
        <v>297972</v>
      </c>
    </row>
    <row r="116" spans="1:8">
      <c r="A116" s="8" t="str">
        <f ca="1">IFERROR(__xludf.DUMMYFUNCTION("""COMPUTED_VALUE"""),"AS-OMNI-E-CL")</f>
        <v>AS-OMNI-E-CL</v>
      </c>
      <c r="B116" s="8" t="str">
        <f ca="1">IFERROR(__xludf.DUMMYFUNCTION("""COMPUTED_VALUE"""),"Annual Plan AS-OMNI-E-CL")</f>
        <v>Annual Plan AS-OMNI-E-CL</v>
      </c>
      <c r="C116" s="9" t="str">
        <f ca="1">IFERROR(__xludf.DUMMYFUNCTION("""COMPUTED_VALUE"""),"Platform")</f>
        <v>Platform</v>
      </c>
      <c r="D116" s="8" t="str">
        <f ca="1">IFERROR(__xludf.DUMMYFUNCTION("""COMPUTED_VALUE"""),"Recurring")</f>
        <v>Recurring</v>
      </c>
      <c r="E116" s="9" t="str">
        <f ca="1">IFERROR(__xludf.DUMMYFUNCTION("""COMPUTED_VALUE"""),"Appspace Cloud Subscription. Appspace Cloud access to all Appspace platform features for 1,000 devices, Elite Support, 1,000 GB cloud storage, and 1,000 GB/month cloud bandwidth.")</f>
        <v>Appspace Cloud Subscription. Appspace Cloud access to all Appspace platform features for 1,000 devices, Elite Support, 1,000 GB cloud storage, and 1,000 GB/month cloud bandwidth.</v>
      </c>
      <c r="F116" s="10" t="str">
        <f ca="1">IFERROR(__xludf.DUMMYFUNCTION("""COMPUTED_VALUE"""),"EUR")</f>
        <v>EUR</v>
      </c>
      <c r="G116" s="8">
        <f ca="1">IFERROR(__xludf.DUMMYFUNCTION("""COMPUTED_VALUE"""),10490)</f>
        <v>10490</v>
      </c>
      <c r="H116" s="10">
        <f ca="1">IFERROR(__xludf.DUMMYFUNCTION("""COMPUTED_VALUE"""),125880)</f>
        <v>125880</v>
      </c>
    </row>
    <row r="117" spans="1:8">
      <c r="A117" s="8" t="str">
        <f ca="1">IFERROR(__xludf.DUMMYFUNCTION("""COMPUTED_VALUE"""),"AS-OMNI-E-CL-EDU")</f>
        <v>AS-OMNI-E-CL-EDU</v>
      </c>
      <c r="B117" s="8" t="str">
        <f ca="1">IFERROR(__xludf.DUMMYFUNCTION("""COMPUTED_VALUE"""),"Annual Plan AS-OMNI-E-CL-EDU")</f>
        <v>Annual Plan AS-OMNI-E-CL-EDU</v>
      </c>
      <c r="C117" s="9" t="str">
        <f ca="1">IFERROR(__xludf.DUMMYFUNCTION("""COMPUTED_VALUE"""),"Platform")</f>
        <v>Platform</v>
      </c>
      <c r="D117" s="8" t="str">
        <f ca="1">IFERROR(__xludf.DUMMYFUNCTION("""COMPUTED_VALUE"""),"Recurring")</f>
        <v>Recurring</v>
      </c>
      <c r="E117" s="9" t="str">
        <f ca="1">IFERROR(__xludf.DUMMYFUNCTION("""COMPUTED_VALUE"""),"Appspace Education Cloud Subscription. Appspace Cloud access to all Appspace platform features for 1,000 devices, Elite Support, 1,000 GB cloud storage, and 1,000 GB/month cloud bandwidth.")</f>
        <v>Appspace Education Cloud Subscription. Appspace Cloud access to all Appspace platform features for 1,000 devices, Elite Support, 1,000 GB cloud storage, and 1,000 GB/month cloud bandwidth.</v>
      </c>
      <c r="F117" s="10" t="str">
        <f ca="1">IFERROR(__xludf.DUMMYFUNCTION("""COMPUTED_VALUE"""),"EUR")</f>
        <v>EUR</v>
      </c>
      <c r="G117" s="8">
        <f ca="1">IFERROR(__xludf.DUMMYFUNCTION("""COMPUTED_VALUE"""),9441)</f>
        <v>9441</v>
      </c>
      <c r="H117" s="10">
        <f ca="1">IFERROR(__xludf.DUMMYFUNCTION("""COMPUTED_VALUE"""),113292)</f>
        <v>113292</v>
      </c>
    </row>
    <row r="118" spans="1:8">
      <c r="A118" s="8" t="str">
        <f ca="1">IFERROR(__xludf.DUMMYFUNCTION("""COMPUTED_VALUE"""),"AS-OMNI-E-OP")</f>
        <v>AS-OMNI-E-OP</v>
      </c>
      <c r="B118" s="8" t="str">
        <f ca="1">IFERROR(__xludf.DUMMYFUNCTION("""COMPUTED_VALUE"""),"Annual Plan AS-OMNI-E-OP")</f>
        <v>Annual Plan AS-OMNI-E-OP</v>
      </c>
      <c r="C118" s="9" t="str">
        <f ca="1">IFERROR(__xludf.DUMMYFUNCTION("""COMPUTED_VALUE"""),"Platform")</f>
        <v>Platform</v>
      </c>
      <c r="D118" s="8" t="str">
        <f ca="1">IFERROR(__xludf.DUMMYFUNCTION("""COMPUTED_VALUE"""),"Recurring")</f>
        <v>Recurring</v>
      </c>
      <c r="E118" s="9" t="str">
        <f ca="1">IFERROR(__xludf.DUMMYFUNCTION("""COMPUTED_VALUE"""),"Appspace On-Prem Subscription. Self-managed on-prem, cloud or hybrid access to all Appspace platform features for 1,000 devices, Elite Support, 1,000 GB cloud storage, and 1,000 GB/month cloud bandwidth.")</f>
        <v>Appspace On-Prem Subscription. Self-managed on-prem, cloud or hybrid access to all Appspace platform features for 1,000 devices, Elite Support, 1,000 GB cloud storage, and 1,000 GB/month cloud bandwidth.</v>
      </c>
      <c r="F118" s="10" t="str">
        <f ca="1">IFERROR(__xludf.DUMMYFUNCTION("""COMPUTED_VALUE"""),"EUR")</f>
        <v>EUR</v>
      </c>
      <c r="G118" s="8">
        <f ca="1">IFERROR(__xludf.DUMMYFUNCTION("""COMPUTED_VALUE"""),20980)</f>
        <v>20980</v>
      </c>
      <c r="H118" s="10">
        <f ca="1">IFERROR(__xludf.DUMMYFUNCTION("""COMPUTED_VALUE"""),251760)</f>
        <v>251760</v>
      </c>
    </row>
    <row r="119" spans="1:8">
      <c r="A119" s="8" t="str">
        <f ca="1">IFERROR(__xludf.DUMMYFUNCTION("""COMPUTED_VALUE"""),"AS-OMNI-E-PV")</f>
        <v>AS-OMNI-E-PV</v>
      </c>
      <c r="B119" s="8" t="str">
        <f ca="1">IFERROR(__xludf.DUMMYFUNCTION("""COMPUTED_VALUE"""),"Annual Plan AS-OMNI-E-PV")</f>
        <v>Annual Plan AS-OMNI-E-PV</v>
      </c>
      <c r="C119" s="9" t="str">
        <f ca="1">IFERROR(__xludf.DUMMYFUNCTION("""COMPUTED_VALUE"""),"Platform")</f>
        <v>Platform</v>
      </c>
      <c r="D119" s="8" t="str">
        <f ca="1">IFERROR(__xludf.DUMMYFUNCTION("""COMPUTED_VALUE"""),"Recurring")</f>
        <v>Recurring</v>
      </c>
      <c r="E119" s="9" t="str">
        <f ca="1">IFERROR(__xludf.DUMMYFUNCTION("""COMPUTED_VALUE"""),"Appspace Private Cloud Subscription. Appspace private cloud instance access to all Appspace platform features for 1,000 devices, Elite Support, 2,000 GB cloud storage, and 2,000 GB/month cloud bandwidth.")</f>
        <v>Appspace Private Cloud Subscription. Appspace private cloud instance access to all Appspace platform features for 1,000 devices, Elite Support, 2,000 GB cloud storage, and 2,000 GB/month cloud bandwidth.</v>
      </c>
      <c r="F119" s="10" t="str">
        <f ca="1">IFERROR(__xludf.DUMMYFUNCTION("""COMPUTED_VALUE"""),"EUR")</f>
        <v>EUR</v>
      </c>
      <c r="G119" s="8">
        <f ca="1">IFERROR(__xludf.DUMMYFUNCTION("""COMPUTED_VALUE"""),15735)</f>
        <v>15735</v>
      </c>
      <c r="H119" s="10">
        <f ca="1">IFERROR(__xludf.DUMMYFUNCTION("""COMPUTED_VALUE"""),188820)</f>
        <v>188820</v>
      </c>
    </row>
    <row r="120" spans="1:8">
      <c r="A120" s="8" t="str">
        <f ca="1">IFERROR(__xludf.DUMMYFUNCTION("""COMPUTED_VALUE"""),"AS-OMNI-E-PV-EDU")</f>
        <v>AS-OMNI-E-PV-EDU</v>
      </c>
      <c r="B120" s="8" t="str">
        <f ca="1">IFERROR(__xludf.DUMMYFUNCTION("""COMPUTED_VALUE"""),"Annual Plan AS-OMNI-E-PV-EDU")</f>
        <v>Annual Plan AS-OMNI-E-PV-EDU</v>
      </c>
      <c r="C120" s="9" t="str">
        <f ca="1">IFERROR(__xludf.DUMMYFUNCTION("""COMPUTED_VALUE"""),"Platform")</f>
        <v>Platform</v>
      </c>
      <c r="D120" s="8" t="str">
        <f ca="1">IFERROR(__xludf.DUMMYFUNCTION("""COMPUTED_VALUE"""),"Recurring")</f>
        <v>Recurring</v>
      </c>
      <c r="E120" s="9" t="str">
        <f ca="1">IFERROR(__xludf.DUMMYFUNCTION("""COMPUTED_VALUE"""),"Appspace Education Private Cloud Subscription. Appspace private cloud instance access to all Appspace platform features for 1,000 devices, Elite Support, 2,000 GB cloud storage, and 2,000 GB/month cloud bandwidth.")</f>
        <v>Appspace Education Private Cloud Subscription. Appspace private cloud instance access to all Appspace platform features for 1,000 devices, Elite Support, 2,000 GB cloud storage, and 2,000 GB/month cloud bandwidth.</v>
      </c>
      <c r="F120" s="10" t="str">
        <f ca="1">IFERROR(__xludf.DUMMYFUNCTION("""COMPUTED_VALUE"""),"EUR")</f>
        <v>EUR</v>
      </c>
      <c r="G120" s="8">
        <f ca="1">IFERROR(__xludf.DUMMYFUNCTION("""COMPUTED_VALUE"""),14161)</f>
        <v>14161</v>
      </c>
      <c r="H120" s="10">
        <f ca="1">IFERROR(__xludf.DUMMYFUNCTION("""COMPUTED_VALUE"""),169932)</f>
        <v>169932</v>
      </c>
    </row>
    <row r="121" spans="1:8">
      <c r="A121" s="8" t="str">
        <f ca="1">IFERROR(__xludf.DUMMYFUNCTION("""COMPUTED_VALUE"""),"AS-OMNI-F-CL")</f>
        <v>AS-OMNI-F-CL</v>
      </c>
      <c r="B121" s="8" t="str">
        <f ca="1">IFERROR(__xludf.DUMMYFUNCTION("""COMPUTED_VALUE"""),"Annual Plan AS-OMNI-F-CL")</f>
        <v>Annual Plan AS-OMNI-F-CL</v>
      </c>
      <c r="C121" s="9" t="str">
        <f ca="1">IFERROR(__xludf.DUMMYFUNCTION("""COMPUTED_VALUE"""),"Platform")</f>
        <v>Platform</v>
      </c>
      <c r="D121" s="8" t="str">
        <f ca="1">IFERROR(__xludf.DUMMYFUNCTION("""COMPUTED_VALUE"""),"Recurring")</f>
        <v>Recurring</v>
      </c>
      <c r="E121" s="9" t="str">
        <f ca="1">IFERROR(__xludf.DUMMYFUNCTION("""COMPUTED_VALUE"""),"Appspace Cloud Subscription. Appspace Cloud access to all Appspace platform features for 3,000 devices, Elite Support, 3,000 GB cloud storage, and 3,000 GB/month cloud bandwidth.")</f>
        <v>Appspace Cloud Subscription. Appspace Cloud access to all Appspace platform features for 3,000 devices, Elite Support, 3,000 GB cloud storage, and 3,000 GB/month cloud bandwidth.</v>
      </c>
      <c r="F121" s="10" t="str">
        <f ca="1">IFERROR(__xludf.DUMMYFUNCTION("""COMPUTED_VALUE"""),"EUR")</f>
        <v>EUR</v>
      </c>
      <c r="G121" s="8">
        <f ca="1">IFERROR(__xludf.DUMMYFUNCTION("""COMPUTED_VALUE"""),21523)</f>
        <v>21523</v>
      </c>
      <c r="H121" s="10">
        <f ca="1">IFERROR(__xludf.DUMMYFUNCTION("""COMPUTED_VALUE"""),258276)</f>
        <v>258276</v>
      </c>
    </row>
    <row r="122" spans="1:8">
      <c r="A122" s="8" t="str">
        <f ca="1">IFERROR(__xludf.DUMMYFUNCTION("""COMPUTED_VALUE"""),"AS-OMNI-F-CL-EDU")</f>
        <v>AS-OMNI-F-CL-EDU</v>
      </c>
      <c r="B122" s="8" t="str">
        <f ca="1">IFERROR(__xludf.DUMMYFUNCTION("""COMPUTED_VALUE"""),"Annual Plan AS-OMNI-F-CL-EDU")</f>
        <v>Annual Plan AS-OMNI-F-CL-EDU</v>
      </c>
      <c r="C122" s="9" t="str">
        <f ca="1">IFERROR(__xludf.DUMMYFUNCTION("""COMPUTED_VALUE"""),"Platform")</f>
        <v>Platform</v>
      </c>
      <c r="D122" s="8" t="str">
        <f ca="1">IFERROR(__xludf.DUMMYFUNCTION("""COMPUTED_VALUE"""),"Recurring")</f>
        <v>Recurring</v>
      </c>
      <c r="E122" s="9" t="str">
        <f ca="1">IFERROR(__xludf.DUMMYFUNCTION("""COMPUTED_VALUE"""),"Appspace Education Cloud Subscription. Appspace Cloud access to all Appspace platform features for 3,000 devices, Elite Support, 3,000 GB cloud storage, and 3,000 GB/month cloud bandwidth.")</f>
        <v>Appspace Education Cloud Subscription. Appspace Cloud access to all Appspace platform features for 3,000 devices, Elite Support, 3,000 GB cloud storage, and 3,000 GB/month cloud bandwidth.</v>
      </c>
      <c r="F122" s="10" t="str">
        <f ca="1">IFERROR(__xludf.DUMMYFUNCTION("""COMPUTED_VALUE"""),"EUR")</f>
        <v>EUR</v>
      </c>
      <c r="G122" s="8">
        <f ca="1">IFERROR(__xludf.DUMMYFUNCTION("""COMPUTED_VALUE"""),19373)</f>
        <v>19373</v>
      </c>
      <c r="H122" s="10">
        <f ca="1">IFERROR(__xludf.DUMMYFUNCTION("""COMPUTED_VALUE"""),232476)</f>
        <v>232476</v>
      </c>
    </row>
    <row r="123" spans="1:8">
      <c r="A123" s="8" t="str">
        <f ca="1">IFERROR(__xludf.DUMMYFUNCTION("""COMPUTED_VALUE"""),"AS-OMNI-F-OP")</f>
        <v>AS-OMNI-F-OP</v>
      </c>
      <c r="B123" s="8" t="str">
        <f ca="1">IFERROR(__xludf.DUMMYFUNCTION("""COMPUTED_VALUE"""),"Annual Plan AS-OMNI-F-OP")</f>
        <v>Annual Plan AS-OMNI-F-OP</v>
      </c>
      <c r="C123" s="9" t="str">
        <f ca="1">IFERROR(__xludf.DUMMYFUNCTION("""COMPUTED_VALUE"""),"Platform")</f>
        <v>Platform</v>
      </c>
      <c r="D123" s="8" t="str">
        <f ca="1">IFERROR(__xludf.DUMMYFUNCTION("""COMPUTED_VALUE"""),"Recurring")</f>
        <v>Recurring</v>
      </c>
      <c r="E123" s="9" t="str">
        <f ca="1">IFERROR(__xludf.DUMMYFUNCTION("""COMPUTED_VALUE"""),"Appspace On-Prem Subscription. Self-managed on-prem, cloud or hybrid access to all Appspace platform features for 3,000 devices, Elite Support, 3,000 GB cloud storage, and 3,000 GB/month cloud bandwidth.")</f>
        <v>Appspace On-Prem Subscription. Self-managed on-prem, cloud or hybrid access to all Appspace platform features for 3,000 devices, Elite Support, 3,000 GB cloud storage, and 3,000 GB/month cloud bandwidth.</v>
      </c>
      <c r="F123" s="8" t="str">
        <f ca="1">IFERROR(__xludf.DUMMYFUNCTION("""COMPUTED_VALUE"""),"EUR")</f>
        <v>EUR</v>
      </c>
      <c r="G123" s="8">
        <f ca="1">IFERROR(__xludf.DUMMYFUNCTION("""COMPUTED_VALUE"""),43046)</f>
        <v>43046</v>
      </c>
      <c r="H123" s="10">
        <f ca="1">IFERROR(__xludf.DUMMYFUNCTION("""COMPUTED_VALUE"""),516552)</f>
        <v>516552</v>
      </c>
    </row>
    <row r="124" spans="1:8">
      <c r="A124" s="8" t="str">
        <f ca="1">IFERROR(__xludf.DUMMYFUNCTION("""COMPUTED_VALUE"""),"AS-OMNI-F-PV")</f>
        <v>AS-OMNI-F-PV</v>
      </c>
      <c r="B124" s="8" t="str">
        <f ca="1">IFERROR(__xludf.DUMMYFUNCTION("""COMPUTED_VALUE"""),"Annual Plan AS-OMNI-F-PV")</f>
        <v>Annual Plan AS-OMNI-F-PV</v>
      </c>
      <c r="C124" s="9" t="str">
        <f ca="1">IFERROR(__xludf.DUMMYFUNCTION("""COMPUTED_VALUE"""),"Platform")</f>
        <v>Platform</v>
      </c>
      <c r="D124" s="8" t="str">
        <f ca="1">IFERROR(__xludf.DUMMYFUNCTION("""COMPUTED_VALUE"""),"Recurring")</f>
        <v>Recurring</v>
      </c>
      <c r="E124" s="9" t="str">
        <f ca="1">IFERROR(__xludf.DUMMYFUNCTION("""COMPUTED_VALUE"""),"Appspace Private Cloud Subscription. Appspace private cloud instance access to all Appspace platform features for 3,000 devices, Elite Support, 6,000 GB cloud storage, and 6,000 GB/month cloud bandwidth.")</f>
        <v>Appspace Private Cloud Subscription. Appspace private cloud instance access to all Appspace platform features for 3,000 devices, Elite Support, 6,000 GB cloud storage, and 6,000 GB/month cloud bandwidth.</v>
      </c>
      <c r="F124" s="8" t="str">
        <f ca="1">IFERROR(__xludf.DUMMYFUNCTION("""COMPUTED_VALUE"""),"EUR")</f>
        <v>EUR</v>
      </c>
      <c r="G124" s="8">
        <f ca="1">IFERROR(__xludf.DUMMYFUNCTION("""COMPUTED_VALUE"""),32284)</f>
        <v>32284</v>
      </c>
      <c r="H124" s="10">
        <f ca="1">IFERROR(__xludf.DUMMYFUNCTION("""COMPUTED_VALUE"""),387408)</f>
        <v>387408</v>
      </c>
    </row>
    <row r="125" spans="1:8">
      <c r="A125" s="8" t="str">
        <f ca="1">IFERROR(__xludf.DUMMYFUNCTION("""COMPUTED_VALUE"""),"AS-OMNI-F-PV-EDU")</f>
        <v>AS-OMNI-F-PV-EDU</v>
      </c>
      <c r="B125" s="8" t="str">
        <f ca="1">IFERROR(__xludf.DUMMYFUNCTION("""COMPUTED_VALUE"""),"Annual Plan AS-OMNI-F-PV-EDU")</f>
        <v>Annual Plan AS-OMNI-F-PV-EDU</v>
      </c>
      <c r="C125" s="9" t="str">
        <f ca="1">IFERROR(__xludf.DUMMYFUNCTION("""COMPUTED_VALUE"""),"Platform")</f>
        <v>Platform</v>
      </c>
      <c r="D125" s="8" t="str">
        <f ca="1">IFERROR(__xludf.DUMMYFUNCTION("""COMPUTED_VALUE"""),"Recurring")</f>
        <v>Recurring</v>
      </c>
      <c r="E125" s="9" t="str">
        <f ca="1">IFERROR(__xludf.DUMMYFUNCTION("""COMPUTED_VALUE"""),"Appspace Education Private Cloud Subscription. Appspace private cloud instance access to all Appspace platform features for 3,000 devices, Elite Support, 6,000 GB cloud storage, and 6,000 GB/month cloud bandwidth.")</f>
        <v>Appspace Education Private Cloud Subscription. Appspace private cloud instance access to all Appspace platform features for 3,000 devices, Elite Support, 6,000 GB cloud storage, and 6,000 GB/month cloud bandwidth.</v>
      </c>
      <c r="F125" s="8" t="str">
        <f ca="1">IFERROR(__xludf.DUMMYFUNCTION("""COMPUTED_VALUE"""),"EUR")</f>
        <v>EUR</v>
      </c>
      <c r="G125" s="8">
        <f ca="1">IFERROR(__xludf.DUMMYFUNCTION("""COMPUTED_VALUE"""),29059)</f>
        <v>29059</v>
      </c>
      <c r="H125" s="10">
        <f ca="1">IFERROR(__xludf.DUMMYFUNCTION("""COMPUTED_VALUE"""),348708)</f>
        <v>348708</v>
      </c>
    </row>
    <row r="126" spans="1:8">
      <c r="A126" s="8" t="str">
        <f ca="1">IFERROR(__xludf.DUMMYFUNCTION("""COMPUTED_VALUE"""),"AS-RP-1000")</f>
        <v>AS-RP-1000</v>
      </c>
      <c r="B126" s="8" t="str">
        <f ca="1">IFERROR(__xludf.DUMMYFUNCTION("""COMPUTED_VALUE"""),"Annual Plan AS-RP-1000")</f>
        <v>Annual Plan AS-RP-1000</v>
      </c>
      <c r="C126" s="9" t="str">
        <f ca="1">IFERROR(__xludf.DUMMYFUNCTION("""COMPUTED_VALUE"""),"Resource Pack")</f>
        <v>Resource Pack</v>
      </c>
      <c r="D126" s="8" t="str">
        <f ca="1">IFERROR(__xludf.DUMMYFUNCTION("""COMPUTED_VALUE"""),"Recurring")</f>
        <v>Recurring</v>
      </c>
      <c r="E126" s="9" t="str">
        <f ca="1">IFERROR(__xludf.DUMMYFUNCTION("""COMPUTED_VALUE"""),"Appspace Resource Pack. Adds an extra 1,000 GB per month of bandwidth and 1,000 GB of storage on top of any Omni subscription plan.")</f>
        <v>Appspace Resource Pack. Adds an extra 1,000 GB per month of bandwidth and 1,000 GB of storage on top of any Omni subscription plan.</v>
      </c>
      <c r="F126" s="8" t="str">
        <f ca="1">IFERROR(__xludf.DUMMYFUNCTION("""COMPUTED_VALUE"""),"EUR")</f>
        <v>EUR</v>
      </c>
      <c r="G126" s="8">
        <f ca="1">IFERROR(__xludf.DUMMYFUNCTION("""COMPUTED_VALUE"""),194)</f>
        <v>194</v>
      </c>
      <c r="H126" s="10">
        <f ca="1">IFERROR(__xludf.DUMMYFUNCTION("""COMPUTED_VALUE"""),2328)</f>
        <v>2328</v>
      </c>
    </row>
    <row r="127" spans="1:8">
      <c r="A127" s="8" t="str">
        <f ca="1">IFERROR(__xludf.DUMMYFUNCTION("""COMPUTED_VALUE"""),"AS-ST-GB")</f>
        <v>AS-ST-GB</v>
      </c>
      <c r="B127" s="8" t="str">
        <f ca="1">IFERROR(__xludf.DUMMYFUNCTION("""COMPUTED_VALUE"""),"Annual Plan AS-ST-GB")</f>
        <v>Annual Plan AS-ST-GB</v>
      </c>
      <c r="C127" s="9" t="str">
        <f ca="1">IFERROR(__xludf.DUMMYFUNCTION("""COMPUTED_VALUE"""),"Storage")</f>
        <v>Storage</v>
      </c>
      <c r="D127" s="8" t="str">
        <f ca="1">IFERROR(__xludf.DUMMYFUNCTION("""COMPUTED_VALUE"""),"Recurring")</f>
        <v>Recurring</v>
      </c>
      <c r="E127" s="9" t="str">
        <f ca="1">IFERROR(__xludf.DUMMYFUNCTION("""COMPUTED_VALUE"""),"Monthly storage allocation (1 GB/month)")</f>
        <v>Monthly storage allocation (1 GB/month)</v>
      </c>
      <c r="F127" s="8" t="str">
        <f ca="1">IFERROR(__xludf.DUMMYFUNCTION("""COMPUTED_VALUE"""),"EUR")</f>
        <v>EUR</v>
      </c>
      <c r="G127" s="8">
        <f ca="1">IFERROR(__xludf.DUMMYFUNCTION("""COMPUTED_VALUE"""),0.1)</f>
        <v>0.1</v>
      </c>
      <c r="H127" s="8">
        <f ca="1">IFERROR(__xludf.DUMMYFUNCTION("""COMPUTED_VALUE"""),1.2)</f>
        <v>1.2</v>
      </c>
    </row>
    <row r="128" spans="1:8">
      <c r="A128" s="8" t="str">
        <f ca="1">IFERROR(__xludf.DUMMYFUNCTION("""COMPUTED_VALUE"""),"AS-SVC-CC")</f>
        <v>AS-SVC-CC</v>
      </c>
      <c r="B128" s="8" t="str">
        <f ca="1">IFERROR(__xludf.DUMMYFUNCTION("""COMPUTED_VALUE"""),"Annual Plan AS-SVC-CC")</f>
        <v>Annual Plan AS-SVC-CC</v>
      </c>
      <c r="C128" s="9" t="str">
        <f ca="1">IFERROR(__xludf.DUMMYFUNCTION("""COMPUTED_VALUE"""),"Complete Care")</f>
        <v>Complete Care</v>
      </c>
      <c r="D128" s="8" t="str">
        <f ca="1">IFERROR(__xludf.DUMMYFUNCTION("""COMPUTED_VALUE"""),"Recurring")</f>
        <v>Recurring</v>
      </c>
      <c r="E128" s="9" t="str">
        <f ca="1">IFERROR(__xludf.DUMMYFUNCTION("""COMPUTED_VALUE"""),"Complete Care")</f>
        <v>Complete Care</v>
      </c>
      <c r="F128" s="8" t="str">
        <f ca="1">IFERROR(__xludf.DUMMYFUNCTION("""COMPUTED_VALUE"""),"EUR")</f>
        <v>EUR</v>
      </c>
      <c r="G128" s="8">
        <f ca="1">IFERROR(__xludf.DUMMYFUNCTION("""COMPUTED_VALUE"""),29.06)</f>
        <v>29.06</v>
      </c>
      <c r="H128" s="10">
        <f ca="1">IFERROR(__xludf.DUMMYFUNCTION("""COMPUTED_VALUE"""),348.72)</f>
        <v>348.72</v>
      </c>
    </row>
    <row r="129" spans="1:8">
      <c r="A129" s="8" t="str">
        <f ca="1">IFERROR(__xludf.DUMMYFUNCTION("""COMPUTED_VALUE"""),"AS-SVC-COM-ADVISORY")</f>
        <v>AS-SVC-COM-ADVISORY</v>
      </c>
      <c r="B129" s="8" t="str">
        <f ca="1">IFERROR(__xludf.DUMMYFUNCTION("""COMPUTED_VALUE"""),"Annual Plan AS-SVC-COM-ADVISORY")</f>
        <v>Annual Plan AS-SVC-COM-ADVISORY</v>
      </c>
      <c r="C129" s="9" t="str">
        <f ca="1">IFERROR(__xludf.DUMMYFUNCTION("""COMPUTED_VALUE"""),"Workplace Communications Advisory")</f>
        <v>Workplace Communications Advisory</v>
      </c>
      <c r="D129" s="8" t="str">
        <f ca="1">IFERROR(__xludf.DUMMYFUNCTION("""COMPUTED_VALUE"""),"Recurring")</f>
        <v>Recurring</v>
      </c>
      <c r="E129" s="9" t="str">
        <f ca="1">IFERROR(__xludf.DUMMYFUNCTION("""COMPUTED_VALUE"""),"Workplace Communications Advisory - Comprehensive communications strategy for your digital and physical workplaces. Ongoing strategic insights into platform usage, industry trends, and product development.")</f>
        <v>Workplace Communications Advisory - Comprehensive communications strategy for your digital and physical workplaces. Ongoing strategic insights into platform usage, industry trends, and product development.</v>
      </c>
      <c r="F129" s="8" t="str">
        <f ca="1">IFERROR(__xludf.DUMMYFUNCTION("""COMPUTED_VALUE"""),"EUR")</f>
        <v>EUR</v>
      </c>
      <c r="G129" s="8">
        <f ca="1">IFERROR(__xludf.DUMMYFUNCTION("""COMPUTED_VALUE"""),2422)</f>
        <v>2422</v>
      </c>
      <c r="H129" s="10">
        <f ca="1">IFERROR(__xludf.DUMMYFUNCTION("""COMPUTED_VALUE"""),29064)</f>
        <v>29064</v>
      </c>
    </row>
    <row r="130" spans="1:8">
      <c r="A130" s="8" t="str">
        <f ca="1">IFERROR(__xludf.DUMMYFUNCTION("""COMPUTED_VALUE"""),"AS-SVC-COM-QST-BASIC")</f>
        <v>AS-SVC-COM-QST-BASIC</v>
      </c>
      <c r="B130" s="8" t="str">
        <f ca="1">IFERROR(__xludf.DUMMYFUNCTION("""COMPUTED_VALUE"""),"AS-SVC-COM-QST-BASIC")</f>
        <v>AS-SVC-COM-QST-BASIC</v>
      </c>
      <c r="C130" s="9" t="str">
        <f ca="1">IFERROR(__xludf.DUMMYFUNCTION("""COMPUTED_VALUE"""),"Workplace Comms Quick Start Basic")</f>
        <v>Workplace Comms Quick Start Basic</v>
      </c>
      <c r="D130" s="8" t="str">
        <f ca="1">IFERROR(__xludf.DUMMYFUNCTION("""COMPUTED_VALUE"""),"One-Time")</f>
        <v>One-Time</v>
      </c>
      <c r="E130" s="9" t="str">
        <f ca="1">IFERROR(__xludf.DUMMYFUNCTION("""COMPUTED_VALUE"""),"Workplace Comms Quick Start Basic - Onboarding basics,onboarding coordinator for 2 months, Welcome session and documentation,configuration guide and review, Administrator and Content Publisher on-demand webinars.")</f>
        <v>Workplace Comms Quick Start Basic - Onboarding basics,onboarding coordinator for 2 months, Welcome session and documentation,configuration guide and review, Administrator and Content Publisher on-demand webinars.</v>
      </c>
      <c r="F130" s="8" t="str">
        <f ca="1">IFERROR(__xludf.DUMMYFUNCTION("""COMPUTED_VALUE"""),"EUR")</f>
        <v>EUR</v>
      </c>
      <c r="G130" s="8">
        <f ca="1">IFERROR(__xludf.DUMMYFUNCTION("""COMPUTED_VALUE"""),2422)</f>
        <v>2422</v>
      </c>
      <c r="H130" s="10">
        <f ca="1">IFERROR(__xludf.DUMMYFUNCTION("""COMPUTED_VALUE"""),2422)</f>
        <v>2422</v>
      </c>
    </row>
    <row r="131" spans="1:8">
      <c r="A131" s="8" t="str">
        <f ca="1">IFERROR(__xludf.DUMMYFUNCTION("""COMPUTED_VALUE"""),"AS-SVC-COM-QST-ELITE")</f>
        <v>AS-SVC-COM-QST-ELITE</v>
      </c>
      <c r="B131" s="8" t="str">
        <f ca="1">IFERROR(__xludf.DUMMYFUNCTION("""COMPUTED_VALUE"""),"AS-SVC-COM-QST-ELITE")</f>
        <v>AS-SVC-COM-QST-ELITE</v>
      </c>
      <c r="C131" s="9" t="str">
        <f ca="1">IFERROR(__xludf.DUMMYFUNCTION("""COMPUTED_VALUE"""),"Workplace Comms Quick Start Elite")</f>
        <v>Workplace Comms Quick Start Elite</v>
      </c>
      <c r="D131" s="8" t="str">
        <f ca="1">IFERROR(__xludf.DUMMYFUNCTION("""COMPUTED_VALUE"""),"One-Time")</f>
        <v>One-Time</v>
      </c>
      <c r="E131" s="9" t="str">
        <f ca="1">IFERROR(__xludf.DUMMYFUNCTION("""COMPUTED_VALUE"""),"Workplace Comms Quick Start Elite - Enterprise and and local Workplace Comms implementation. Strategy session, Global-to-Local Governance Plan Global-to-Local Employee App Configuration, Device App Configuration,16 branded card templates, Administrator an"&amp;"d Content Publisher training.")</f>
        <v>Workplace Comms Quick Start Elite - Enterprise and and local Workplace Comms implementation. Strategy session, Global-to-Local Governance Plan Global-to-Local Employee App Configuration, Device App Configuration,16 branded card templates, Administrator and Content Publisher training.</v>
      </c>
      <c r="F131" s="8" t="str">
        <f ca="1">IFERROR(__xludf.DUMMYFUNCTION("""COMPUTED_VALUE"""),"EUR")</f>
        <v>EUR</v>
      </c>
      <c r="G131" s="8">
        <f ca="1">IFERROR(__xludf.DUMMYFUNCTION("""COMPUTED_VALUE"""),29059)</f>
        <v>29059</v>
      </c>
      <c r="H131" s="10">
        <f ca="1">IFERROR(__xludf.DUMMYFUNCTION("""COMPUTED_VALUE"""),29059)</f>
        <v>29059</v>
      </c>
    </row>
    <row r="132" spans="1:8">
      <c r="A132" s="8" t="str">
        <f ca="1">IFERROR(__xludf.DUMMYFUNCTION("""COMPUTED_VALUE"""),"AS-SVC-COM-QST-PREMIUM")</f>
        <v>AS-SVC-COM-QST-PREMIUM</v>
      </c>
      <c r="B132" s="8" t="str">
        <f ca="1">IFERROR(__xludf.DUMMYFUNCTION("""COMPUTED_VALUE"""),"AS-SVC-COM-QST-PREMIUM")</f>
        <v>AS-SVC-COM-QST-PREMIUM</v>
      </c>
      <c r="C132" s="9" t="str">
        <f ca="1">IFERROR(__xludf.DUMMYFUNCTION("""COMPUTED_VALUE"""),"Workplace Comms Quick Start Premium")</f>
        <v>Workplace Comms Quick Start Premium</v>
      </c>
      <c r="D132" s="8" t="str">
        <f ca="1">IFERROR(__xludf.DUMMYFUNCTION("""COMPUTED_VALUE"""),"One-Time")</f>
        <v>One-Time</v>
      </c>
      <c r="E132" s="9" t="str">
        <f ca="1">IFERROR(__xludf.DUMMYFUNCTION("""COMPUTED_VALUE"""),"Workplace Comms Quick Start Premium - Enterprise-level Workplace Communications implementation. Strategy session, Employee App theming and configuration, platform configuration, 16 branded card templates, Administrator and Content Publisher training.")</f>
        <v>Workplace Comms Quick Start Premium - Enterprise-level Workplace Communications implementation. Strategy session, Employee App theming and configuration, platform configuration, 16 branded card templates, Administrator and Content Publisher training.</v>
      </c>
      <c r="F132" s="8" t="str">
        <f ca="1">IFERROR(__xludf.DUMMYFUNCTION("""COMPUTED_VALUE"""),"EUR")</f>
        <v>EUR</v>
      </c>
      <c r="G132" s="8">
        <f ca="1">IFERROR(__xludf.DUMMYFUNCTION("""COMPUTED_VALUE"""),14529)</f>
        <v>14529</v>
      </c>
      <c r="H132" s="10">
        <f ca="1">IFERROR(__xludf.DUMMYFUNCTION("""COMPUTED_VALUE"""),14529)</f>
        <v>14529</v>
      </c>
    </row>
    <row r="133" spans="1:8">
      <c r="A133" s="8" t="str">
        <f ca="1">IFERROR(__xludf.DUMMYFUNCTION("""COMPUTED_VALUE"""),"AS-SVC-COM-REFRESH")</f>
        <v>AS-SVC-COM-REFRESH</v>
      </c>
      <c r="B133" s="8" t="str">
        <f ca="1">IFERROR(__xludf.DUMMYFUNCTION("""COMPUTED_VALUE"""),"AS-SVC-COM-REFRESH")</f>
        <v>AS-SVC-COM-REFRESH</v>
      </c>
      <c r="C133" s="9" t="str">
        <f ca="1">IFERROR(__xludf.DUMMYFUNCTION("""COMPUTED_VALUE"""),"Workplace Comms Refresh")</f>
        <v>Workplace Comms Refresh</v>
      </c>
      <c r="D133" s="8" t="str">
        <f ca="1">IFERROR(__xludf.DUMMYFUNCTION("""COMPUTED_VALUE"""),"One-Time")</f>
        <v>One-Time</v>
      </c>
      <c r="E133" s="9" t="str">
        <f ca="1">IFERROR(__xludf.DUMMYFUNCTION("""COMPUTED_VALUE"""),"Workplace Comms Refresh -  Appspace Digital Signage and/or Employee App comms and analytics review; library, channels, groups cleanup; documented best practices, workflow review session.")</f>
        <v>Workplace Comms Refresh -  Appspace Digital Signage and/or Employee App comms and analytics review; library, channels, groups cleanup; documented best practices, workflow review session.</v>
      </c>
      <c r="F133" s="8" t="str">
        <f ca="1">IFERROR(__xludf.DUMMYFUNCTION("""COMPUTED_VALUE"""),"EUR")</f>
        <v>EUR</v>
      </c>
      <c r="G133" s="8">
        <f ca="1">IFERROR(__xludf.DUMMYFUNCTION("""COMPUTED_VALUE"""),14529)</f>
        <v>14529</v>
      </c>
      <c r="H133" s="10">
        <f ca="1">IFERROR(__xludf.DUMMYFUNCTION("""COMPUTED_VALUE"""),14529)</f>
        <v>14529</v>
      </c>
    </row>
    <row r="134" spans="1:8">
      <c r="A134" s="8" t="str">
        <f ca="1">IFERROR(__xludf.DUMMYFUNCTION("""COMPUTED_VALUE"""),"AS-SVC-COM-REVIEW")</f>
        <v>AS-SVC-COM-REVIEW</v>
      </c>
      <c r="B134" s="8" t="str">
        <f ca="1">IFERROR(__xludf.DUMMYFUNCTION("""COMPUTED_VALUE"""),"AS-SVC-COM-REVIEW")</f>
        <v>AS-SVC-COM-REVIEW</v>
      </c>
      <c r="C134" s="9" t="str">
        <f ca="1">IFERROR(__xludf.DUMMYFUNCTION("""COMPUTED_VALUE"""),"Workplace Comms Review")</f>
        <v>Workplace Comms Review</v>
      </c>
      <c r="D134" s="8" t="str">
        <f ca="1">IFERROR(__xludf.DUMMYFUNCTION("""COMPUTED_VALUE"""),"One-Time")</f>
        <v>One-Time</v>
      </c>
      <c r="E134" s="9" t="str">
        <f ca="1">IFERROR(__xludf.DUMMYFUNCTION("""COMPUTED_VALUE"""),"Workplace Comms Review - Appspace Digital Signage and/or Employee App communications and analytics review, documented findings and recommendations, collaborative findings review session.")</f>
        <v>Workplace Comms Review - Appspace Digital Signage and/or Employee App communications and analytics review, documented findings and recommendations, collaborative findings review session.</v>
      </c>
      <c r="F134" s="8" t="str">
        <f ca="1">IFERROR(__xludf.DUMMYFUNCTION("""COMPUTED_VALUE"""),"EUR")</f>
        <v>EUR</v>
      </c>
      <c r="G134" s="8">
        <f ca="1">IFERROR(__xludf.DUMMYFUNCTION("""COMPUTED_VALUE"""),7265)</f>
        <v>7265</v>
      </c>
      <c r="H134" s="10">
        <f ca="1">IFERROR(__xludf.DUMMYFUNCTION("""COMPUTED_VALUE"""),7265)</f>
        <v>7265</v>
      </c>
    </row>
    <row r="135" spans="1:8">
      <c r="A135" s="8" t="str">
        <f ca="1">IFERROR(__xludf.DUMMYFUNCTION("""COMPUTED_VALUE"""),"AS-SVC-COM-TEMPLATES")</f>
        <v>AS-SVC-COM-TEMPLATES</v>
      </c>
      <c r="B135" s="8" t="str">
        <f ca="1">IFERROR(__xludf.DUMMYFUNCTION("""COMPUTED_VALUE"""),"AS-SVC-COM-TEMPLATES")</f>
        <v>AS-SVC-COM-TEMPLATES</v>
      </c>
      <c r="C135" s="9" t="str">
        <f ca="1">IFERROR(__xludf.DUMMYFUNCTION("""COMPUTED_VALUE"""),"Workplace Comms Branded Templates")</f>
        <v>Workplace Comms Branded Templates</v>
      </c>
      <c r="D135" s="8" t="str">
        <f ca="1">IFERROR(__xludf.DUMMYFUNCTION("""COMPUTED_VALUE"""),"One-Time")</f>
        <v>One-Time</v>
      </c>
      <c r="E135" s="9" t="str">
        <f ca="1">IFERROR(__xludf.DUMMYFUNCTION("""COMPUTED_VALUE"""),"Workplace Comms Branded Templates - Sixteen communication templates for your most common use cases, branded with your logo, fonts, and colors.")</f>
        <v>Workplace Comms Branded Templates - Sixteen communication templates for your most common use cases, branded with your logo, fonts, and colors.</v>
      </c>
      <c r="F135" s="8" t="str">
        <f ca="1">IFERROR(__xludf.DUMMYFUNCTION("""COMPUTED_VALUE"""),"EUR")</f>
        <v>EUR</v>
      </c>
      <c r="G135" s="8">
        <f ca="1">IFERROR(__xludf.DUMMYFUNCTION("""COMPUTED_VALUE"""),7749)</f>
        <v>7749</v>
      </c>
      <c r="H135" s="10">
        <f ca="1">IFERROR(__xludf.DUMMYFUNCTION("""COMPUTED_VALUE"""),7749)</f>
        <v>7749</v>
      </c>
    </row>
    <row r="136" spans="1:8">
      <c r="A136" s="8" t="str">
        <f ca="1">IFERROR(__xludf.DUMMYFUNCTION("""COMPUTED_VALUE"""),"AS-SVC-CSM")</f>
        <v>AS-SVC-CSM</v>
      </c>
      <c r="B136" s="8" t="str">
        <f ca="1">IFERROR(__xludf.DUMMYFUNCTION("""COMPUTED_VALUE"""),"Annual Plan AS-SVC-CSM")</f>
        <v>Annual Plan AS-SVC-CSM</v>
      </c>
      <c r="C136" s="9" t="str">
        <f ca="1">IFERROR(__xludf.DUMMYFUNCTION("""COMPUTED_VALUE"""),"Customer Success Manager")</f>
        <v>Customer Success Manager</v>
      </c>
      <c r="D136" s="8" t="str">
        <f ca="1">IFERROR(__xludf.DUMMYFUNCTION("""COMPUTED_VALUE"""),"Recurring")</f>
        <v>Recurring</v>
      </c>
      <c r="E136" s="9" t="str">
        <f ca="1">IFERROR(__xludf.DUMMYFUNCTION("""COMPUTED_VALUE"""),"Appspace Customer Success Manager - An Appspace Customer Success Manager is assigned to your account to assist you with getting the most out of your Appspace subscription.")</f>
        <v>Appspace Customer Success Manager - An Appspace Customer Success Manager is assigned to your account to assist you with getting the most out of your Appspace subscription.</v>
      </c>
      <c r="F136" s="8" t="str">
        <f ca="1">IFERROR(__xludf.DUMMYFUNCTION("""COMPUTED_VALUE"""),"EUR")</f>
        <v>EUR</v>
      </c>
      <c r="G136" s="8">
        <f ca="1">IFERROR(__xludf.DUMMYFUNCTION("""COMPUTED_VALUE"""),1453)</f>
        <v>1453</v>
      </c>
      <c r="H136" s="10">
        <f ca="1">IFERROR(__xludf.DUMMYFUNCTION("""COMPUTED_VALUE"""),17436)</f>
        <v>17436</v>
      </c>
    </row>
    <row r="137" spans="1:8">
      <c r="A137" s="8" t="str">
        <f ca="1">IFERROR(__xludf.DUMMYFUNCTION("""COMPUTED_VALUE"""),"AS-SVC-INT-MS-BASIC")</f>
        <v>AS-SVC-INT-MS-BASIC</v>
      </c>
      <c r="B137" s="8" t="str">
        <f ca="1">IFERROR(__xludf.DUMMYFUNCTION("""COMPUTED_VALUE"""),"Annual Plan AS-SVC-INT-MS-BASIC")</f>
        <v>Annual Plan AS-SVC-INT-MS-BASIC</v>
      </c>
      <c r="C137" s="9" t="str">
        <f ca="1">IFERROR(__xludf.DUMMYFUNCTION("""COMPUTED_VALUE"""),"Managed Services Intranet - Basic")</f>
        <v>Managed Services Intranet - Basic</v>
      </c>
      <c r="D137" s="8" t="str">
        <f ca="1">IFERROR(__xludf.DUMMYFUNCTION("""COMPUTED_VALUE"""),"Recurring")</f>
        <v>Recurring</v>
      </c>
      <c r="E137" s="9" t="str">
        <f ca="1">IFERROR(__xludf.DUMMYFUNCTION("""COMPUTED_VALUE"""),"Intranet Platform Managed Services - Ongoing Intranet support including project management, analytics reporting and advisory, new user support. Up to 12 hours per month")</f>
        <v>Intranet Platform Managed Services - Ongoing Intranet support including project management, analytics reporting and advisory, new user support. Up to 12 hours per month</v>
      </c>
      <c r="F137" s="8" t="str">
        <f ca="1">IFERROR(__xludf.DUMMYFUNCTION("""COMPUTED_VALUE"""),"EUR")</f>
        <v>EUR</v>
      </c>
      <c r="G137" s="8">
        <f ca="1">IFERROR(__xludf.DUMMYFUNCTION("""COMPUTED_VALUE"""),2906)</f>
        <v>2906</v>
      </c>
      <c r="H137" s="10">
        <f ca="1">IFERROR(__xludf.DUMMYFUNCTION("""COMPUTED_VALUE"""),34872)</f>
        <v>34872</v>
      </c>
    </row>
    <row r="138" spans="1:8">
      <c r="A138" s="8" t="str">
        <f ca="1">IFERROR(__xludf.DUMMYFUNCTION("""COMPUTED_VALUE"""),"AS-SVC-INT-MS-BRANDING")</f>
        <v>AS-SVC-INT-MS-BRANDING</v>
      </c>
      <c r="B138" s="8" t="str">
        <f ca="1">IFERROR(__xludf.DUMMYFUNCTION("""COMPUTED_VALUE"""),"AS-SVC-INT-MS-BRANDING")</f>
        <v>AS-SVC-INT-MS-BRANDING</v>
      </c>
      <c r="C138" s="9" t="str">
        <f ca="1">IFERROR(__xludf.DUMMYFUNCTION("""COMPUTED_VALUE"""),"Intranet Branding Managed Services")</f>
        <v>Intranet Branding Managed Services</v>
      </c>
      <c r="D138" s="8" t="str">
        <f ca="1">IFERROR(__xludf.DUMMYFUNCTION("""COMPUTED_VALUE"""),"Recurring")</f>
        <v>Recurring</v>
      </c>
      <c r="E138" s="9" t="str">
        <f ca="1">IFERROR(__xludf.DUMMYFUNCTION("""COMPUTED_VALUE"""),"Intranet Branding Services - Custom branding of Intranet local and global entities, set up and maintenance of the customizations. Includes 4 updates of branding packages a year.")</f>
        <v>Intranet Branding Services - Custom branding of Intranet local and global entities, set up and maintenance of the customizations. Includes 4 updates of branding packages a year.</v>
      </c>
      <c r="F138" s="8" t="str">
        <f ca="1">IFERROR(__xludf.DUMMYFUNCTION("""COMPUTED_VALUE"""),"EUR")</f>
        <v>EUR</v>
      </c>
      <c r="G138" s="8">
        <f ca="1">IFERROR(__xludf.DUMMYFUNCTION("""COMPUTED_VALUE"""),1065)</f>
        <v>1065</v>
      </c>
      <c r="H138" s="10">
        <f ca="1">IFERROR(__xludf.DUMMYFUNCTION("""COMPUTED_VALUE"""),12780)</f>
        <v>12780</v>
      </c>
    </row>
    <row r="139" spans="1:8">
      <c r="A139" s="8" t="str">
        <f ca="1">IFERROR(__xludf.DUMMYFUNCTION("""COMPUTED_VALUE"""),"AS-SVC-INT-MS-ELITE")</f>
        <v>AS-SVC-INT-MS-ELITE</v>
      </c>
      <c r="B139" s="8" t="str">
        <f ca="1">IFERROR(__xludf.DUMMYFUNCTION("""COMPUTED_VALUE"""),"Annual Plan AS-SVC-INT-MS-ELITE")</f>
        <v>Annual Plan AS-SVC-INT-MS-ELITE</v>
      </c>
      <c r="C139" s="9" t="str">
        <f ca="1">IFERROR(__xludf.DUMMYFUNCTION("""COMPUTED_VALUE"""),"Managed Services Intranet - Elite")</f>
        <v>Managed Services Intranet - Elite</v>
      </c>
      <c r="D139" s="8" t="str">
        <f ca="1">IFERROR(__xludf.DUMMYFUNCTION("""COMPUTED_VALUE"""),"Recurring")</f>
        <v>Recurring</v>
      </c>
      <c r="E139" s="9" t="str">
        <f ca="1">IFERROR(__xludf.DUMMYFUNCTION("""COMPUTED_VALUE"""),"Intranet Platform Managed Services - Ongoing Intranet support including project management, analytics reporting and advisory, new user support. 32+hours per month. Additional scoping may be required.")</f>
        <v>Intranet Platform Managed Services - Ongoing Intranet support including project management, analytics reporting and advisory, new user support. 32+hours per month. Additional scoping may be required.</v>
      </c>
      <c r="F139" s="8" t="str">
        <f ca="1">IFERROR(__xludf.DUMMYFUNCTION("""COMPUTED_VALUE"""),"EUR")</f>
        <v>EUR</v>
      </c>
      <c r="G139" s="8">
        <f ca="1">IFERROR(__xludf.DUMMYFUNCTION("""COMPUTED_VALUE"""),7265)</f>
        <v>7265</v>
      </c>
      <c r="H139" s="10">
        <f ca="1">IFERROR(__xludf.DUMMYFUNCTION("""COMPUTED_VALUE"""),87180)</f>
        <v>87180</v>
      </c>
    </row>
    <row r="140" spans="1:8">
      <c r="A140" s="8" t="str">
        <f ca="1">IFERROR(__xludf.DUMMYFUNCTION("""COMPUTED_VALUE"""),"AS-SVC-INT-MS-PREMIUM")</f>
        <v>AS-SVC-INT-MS-PREMIUM</v>
      </c>
      <c r="B140" s="8" t="str">
        <f ca="1">IFERROR(__xludf.DUMMYFUNCTION("""COMPUTED_VALUE"""),"Annual Plan AS-SVC-INT-MS-PREMIUM")</f>
        <v>Annual Plan AS-SVC-INT-MS-PREMIUM</v>
      </c>
      <c r="C140" s="9" t="str">
        <f ca="1">IFERROR(__xludf.DUMMYFUNCTION("""COMPUTED_VALUE"""),"Managed Services Intranet - Premium")</f>
        <v>Managed Services Intranet - Premium</v>
      </c>
      <c r="D140" s="8" t="str">
        <f ca="1">IFERROR(__xludf.DUMMYFUNCTION("""COMPUTED_VALUE"""),"Recurring")</f>
        <v>Recurring</v>
      </c>
      <c r="E140" s="9" t="str">
        <f ca="1">IFERROR(__xludf.DUMMYFUNCTION("""COMPUTED_VALUE"""),"Intranet Platform Managed Services - Ongoing Intranet support including project management, analytics reporting and advisory, new user support. Up to 24 hours per month")</f>
        <v>Intranet Platform Managed Services - Ongoing Intranet support including project management, analytics reporting and advisory, new user support. Up to 24 hours per month</v>
      </c>
      <c r="F140" s="8" t="str">
        <f ca="1">IFERROR(__xludf.DUMMYFUNCTION("""COMPUTED_VALUE"""),"EUR")</f>
        <v>EUR</v>
      </c>
      <c r="G140" s="8">
        <f ca="1">IFERROR(__xludf.DUMMYFUNCTION("""COMPUTED_VALUE"""),5812)</f>
        <v>5812</v>
      </c>
      <c r="H140" s="10">
        <f ca="1">IFERROR(__xludf.DUMMYFUNCTION("""COMPUTED_VALUE"""),69744)</f>
        <v>69744</v>
      </c>
    </row>
    <row r="141" spans="1:8">
      <c r="A141" s="8" t="str">
        <f ca="1">IFERROR(__xludf.DUMMYFUNCTION("""COMPUTED_VALUE"""),"AS-SVC-MAPS-FLU")</f>
        <v>AS-SVC-MAPS-FLU</v>
      </c>
      <c r="B141" s="8" t="str">
        <f ca="1">IFERROR(__xludf.DUMMYFUNCTION("""COMPUTED_VALUE"""),"AS-SVC-MAPS-FLU")</f>
        <v>AS-SVC-MAPS-FLU</v>
      </c>
      <c r="C141" s="9" t="str">
        <f ca="1">IFERROR(__xludf.DUMMYFUNCTION("""COMPUTED_VALUE"""),"Space Reservation Floor Update")</f>
        <v>Space Reservation Floor Update</v>
      </c>
      <c r="D141" s="8" t="str">
        <f ca="1">IFERROR(__xludf.DUMMYFUNCTION("""COMPUTED_VALUE"""),"One-Time")</f>
        <v>One-Time</v>
      </c>
      <c r="E141" s="9" t="str">
        <f ca="1">IFERROR(__xludf.DUMMYFUNCTION("""COMPUTED_VALUE"""),"Appspace Space Reservation Floor Update - Update of Appspace-created 2D mapped floor plan.")</f>
        <v>Appspace Space Reservation Floor Update - Update of Appspace-created 2D mapped floor plan.</v>
      </c>
      <c r="F141" s="8" t="str">
        <f ca="1">IFERROR(__xludf.DUMMYFUNCTION("""COMPUTED_VALUE"""),"EUR")</f>
        <v>EUR</v>
      </c>
      <c r="G141" s="8">
        <f ca="1">IFERROR(__xludf.DUMMYFUNCTION("""COMPUTED_VALUE"""),242)</f>
        <v>242</v>
      </c>
      <c r="H141" s="10">
        <f ca="1">IFERROR(__xludf.DUMMYFUNCTION("""COMPUTED_VALUE"""),242)</f>
        <v>242</v>
      </c>
    </row>
    <row r="142" spans="1:8">
      <c r="A142" s="8" t="str">
        <f ca="1">IFERROR(__xludf.DUMMYFUNCTION("""COMPUTED_VALUE"""),"AS-SVC-MS-ADVANCED")</f>
        <v>AS-SVC-MS-ADVANCED</v>
      </c>
      <c r="B142" s="8" t="str">
        <f ca="1">IFERROR(__xludf.DUMMYFUNCTION("""COMPUTED_VALUE"""),"Annual Plan AS-SVC-MS-ADVANCED")</f>
        <v>Annual Plan AS-SVC-MS-ADVANCED</v>
      </c>
      <c r="C142" s="9" t="str">
        <f ca="1">IFERROR(__xludf.DUMMYFUNCTION("""COMPUTED_VALUE"""),"Managed Services - Advanced")</f>
        <v>Managed Services - Advanced</v>
      </c>
      <c r="D142" s="8" t="str">
        <f ca="1">IFERROR(__xludf.DUMMYFUNCTION("""COMPUTED_VALUE"""),"Recurring")</f>
        <v>Recurring</v>
      </c>
      <c r="E142" s="9" t="str">
        <f ca="1">IFERROR(__xludf.DUMMYFUNCTION("""COMPUTED_VALUE"""),"Managed Services Advanced - Ongoing platform assistance, up to 12 hours per month")</f>
        <v>Managed Services Advanced - Ongoing platform assistance, up to 12 hours per month</v>
      </c>
      <c r="F142" s="8" t="str">
        <f ca="1">IFERROR(__xludf.DUMMYFUNCTION("""COMPUTED_VALUE"""),"EUR")</f>
        <v>EUR</v>
      </c>
      <c r="G142" s="8">
        <f ca="1">IFERROR(__xludf.DUMMYFUNCTION("""COMPUTED_VALUE"""),2906)</f>
        <v>2906</v>
      </c>
      <c r="H142" s="10">
        <f ca="1">IFERROR(__xludf.DUMMYFUNCTION("""COMPUTED_VALUE"""),34872)</f>
        <v>34872</v>
      </c>
    </row>
    <row r="143" spans="1:8">
      <c r="A143" s="8" t="str">
        <f ca="1">IFERROR(__xludf.DUMMYFUNCTION("""COMPUTED_VALUE"""),"AS-SVC-MS-BASIC")</f>
        <v>AS-SVC-MS-BASIC</v>
      </c>
      <c r="B143" s="8" t="str">
        <f ca="1">IFERROR(__xludf.DUMMYFUNCTION("""COMPUTED_VALUE"""),"Annual Plan AS-SVC-MS-BASIC")</f>
        <v>Annual Plan AS-SVC-MS-BASIC</v>
      </c>
      <c r="C143" s="9" t="str">
        <f ca="1">IFERROR(__xludf.DUMMYFUNCTION("""COMPUTED_VALUE"""),"Managed Services - Basic")</f>
        <v>Managed Services - Basic</v>
      </c>
      <c r="D143" s="8" t="str">
        <f ca="1">IFERROR(__xludf.DUMMYFUNCTION("""COMPUTED_VALUE"""),"Recurring")</f>
        <v>Recurring</v>
      </c>
      <c r="E143" s="9" t="str">
        <f ca="1">IFERROR(__xludf.DUMMYFUNCTION("""COMPUTED_VALUE"""),"Managed Services Basic - Ongoing platform assistance, up to 6 hours per month")</f>
        <v>Managed Services Basic - Ongoing platform assistance, up to 6 hours per month</v>
      </c>
      <c r="F143" s="8" t="str">
        <f ca="1">IFERROR(__xludf.DUMMYFUNCTION("""COMPUTED_VALUE"""),"EUR")</f>
        <v>EUR</v>
      </c>
      <c r="G143" s="8">
        <f ca="1">IFERROR(__xludf.DUMMYFUNCTION("""COMPUTED_VALUE"""),1453)</f>
        <v>1453</v>
      </c>
      <c r="H143" s="10">
        <f ca="1">IFERROR(__xludf.DUMMYFUNCTION("""COMPUTED_VALUE"""),17436)</f>
        <v>17436</v>
      </c>
    </row>
    <row r="144" spans="1:8">
      <c r="A144" s="8" t="str">
        <f ca="1">IFERROR(__xludf.DUMMYFUNCTION("""COMPUTED_VALUE"""),"AS-SVC-MS-PREMIUM")</f>
        <v>AS-SVC-MS-PREMIUM</v>
      </c>
      <c r="B144" s="8" t="str">
        <f ca="1">IFERROR(__xludf.DUMMYFUNCTION("""COMPUTED_VALUE"""),"Annual Plan AS-SVC-MS-PREMIUM")</f>
        <v>Annual Plan AS-SVC-MS-PREMIUM</v>
      </c>
      <c r="C144" s="9" t="str">
        <f ca="1">IFERROR(__xludf.DUMMYFUNCTION("""COMPUTED_VALUE"""),"Managed Services - Premium")</f>
        <v>Managed Services - Premium</v>
      </c>
      <c r="D144" s="8" t="str">
        <f ca="1">IFERROR(__xludf.DUMMYFUNCTION("""COMPUTED_VALUE"""),"Recurring")</f>
        <v>Recurring</v>
      </c>
      <c r="E144" s="9" t="str">
        <f ca="1">IFERROR(__xludf.DUMMYFUNCTION("""COMPUTED_VALUE"""),"Managed Services Premium - Ongoing platform assistance, up to 24 hours per month")</f>
        <v>Managed Services Premium - Ongoing platform assistance, up to 24 hours per month</v>
      </c>
      <c r="F144" s="8" t="str">
        <f ca="1">IFERROR(__xludf.DUMMYFUNCTION("""COMPUTED_VALUE"""),"EUR")</f>
        <v>EUR</v>
      </c>
      <c r="G144" s="8">
        <f ca="1">IFERROR(__xludf.DUMMYFUNCTION("""COMPUTED_VALUE"""),5812)</f>
        <v>5812</v>
      </c>
      <c r="H144" s="10">
        <f ca="1">IFERROR(__xludf.DUMMYFUNCTION("""COMPUTED_VALUE"""),69744)</f>
        <v>69744</v>
      </c>
    </row>
    <row r="145" spans="1:8">
      <c r="A145" s="8" t="str">
        <f ca="1">IFERROR(__xludf.DUMMYFUNCTION("""COMPUTED_VALUE"""),"AS-SVC-OP-CM")</f>
        <v>AS-SVC-OP-CM</v>
      </c>
      <c r="B145" s="8" t="str">
        <f ca="1">IFERROR(__xludf.DUMMYFUNCTION("""COMPUTED_VALUE"""),"AS-SVC-OP-CM - Large")</f>
        <v>AS-SVC-OP-CM - Large</v>
      </c>
      <c r="C145" s="9" t="str">
        <f ca="1">IFERROR(__xludf.DUMMYFUNCTION("""COMPUTED_VALUE"""),"On-Prem to Cloud Migration - Large")</f>
        <v>On-Prem to Cloud Migration - Large</v>
      </c>
      <c r="D145" s="8" t="str">
        <f ca="1">IFERROR(__xludf.DUMMYFUNCTION("""COMPUTED_VALUE"""),"One-Time")</f>
        <v>One-Time</v>
      </c>
      <c r="E145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5" s="8" t="str">
        <f ca="1">IFERROR(__xludf.DUMMYFUNCTION("""COMPUTED_VALUE"""),"EUR")</f>
        <v>EUR</v>
      </c>
      <c r="G145" s="8">
        <f ca="1">IFERROR(__xludf.DUMMYFUNCTION("""COMPUTED_VALUE"""),19373)</f>
        <v>19373</v>
      </c>
      <c r="H145" s="10">
        <f ca="1">IFERROR(__xludf.DUMMYFUNCTION("""COMPUTED_VALUE"""),19373)</f>
        <v>19373</v>
      </c>
    </row>
    <row r="146" spans="1:8">
      <c r="A146" s="8" t="str">
        <f ca="1">IFERROR(__xludf.DUMMYFUNCTION("""COMPUTED_VALUE"""),"AS-SVC-OP-CM")</f>
        <v>AS-SVC-OP-CM</v>
      </c>
      <c r="B146" s="8" t="str">
        <f ca="1">IFERROR(__xludf.DUMMYFUNCTION("""COMPUTED_VALUE"""),"AS-SVC-OP-CM - Medium")</f>
        <v>AS-SVC-OP-CM - Medium</v>
      </c>
      <c r="C146" s="9" t="str">
        <f ca="1">IFERROR(__xludf.DUMMYFUNCTION("""COMPUTED_VALUE"""),"On-Prem to Cloud Migration - Medium")</f>
        <v>On-Prem to Cloud Migration - Medium</v>
      </c>
      <c r="D146" s="8" t="str">
        <f ca="1">IFERROR(__xludf.DUMMYFUNCTION("""COMPUTED_VALUE"""),"One-Time")</f>
        <v>One-Time</v>
      </c>
      <c r="E146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6" s="8" t="str">
        <f ca="1">IFERROR(__xludf.DUMMYFUNCTION("""COMPUTED_VALUE"""),"EUR")</f>
        <v>EUR</v>
      </c>
      <c r="G146" s="8">
        <f ca="1">IFERROR(__xludf.DUMMYFUNCTION("""COMPUTED_VALUE"""),9686)</f>
        <v>9686</v>
      </c>
      <c r="H146" s="10">
        <f ca="1">IFERROR(__xludf.DUMMYFUNCTION("""COMPUTED_VALUE"""),9686)</f>
        <v>9686</v>
      </c>
    </row>
    <row r="147" spans="1:8">
      <c r="A147" s="8" t="str">
        <f ca="1">IFERROR(__xludf.DUMMYFUNCTION("""COMPUTED_VALUE"""),"AS-SVC-OP-CM")</f>
        <v>AS-SVC-OP-CM</v>
      </c>
      <c r="B147" s="8" t="str">
        <f ca="1">IFERROR(__xludf.DUMMYFUNCTION("""COMPUTED_VALUE"""),"AS-SVC-OP-CM - Small")</f>
        <v>AS-SVC-OP-CM - Small</v>
      </c>
      <c r="C147" s="9" t="str">
        <f ca="1">IFERROR(__xludf.DUMMYFUNCTION("""COMPUTED_VALUE"""),"On-Prem to Cloud Migration - Small")</f>
        <v>On-Prem to Cloud Migration - Small</v>
      </c>
      <c r="D147" s="8" t="str">
        <f ca="1">IFERROR(__xludf.DUMMYFUNCTION("""COMPUTED_VALUE"""),"One-Time")</f>
        <v>One-Time</v>
      </c>
      <c r="E147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7" s="8" t="str">
        <f ca="1">IFERROR(__xludf.DUMMYFUNCTION("""COMPUTED_VALUE"""),"EUR")</f>
        <v>EUR</v>
      </c>
      <c r="G147" s="8">
        <f ca="1">IFERROR(__xludf.DUMMYFUNCTION("""COMPUTED_VALUE"""),4843)</f>
        <v>4843</v>
      </c>
      <c r="H147" s="10">
        <f ca="1">IFERROR(__xludf.DUMMYFUNCTION("""COMPUTED_VALUE"""),4843)</f>
        <v>4843</v>
      </c>
    </row>
    <row r="148" spans="1:8">
      <c r="A148" s="8" t="str">
        <f ca="1">IFERROR(__xludf.DUMMYFUNCTION("""COMPUTED_VALUE"""),"AS-SVC-OP-UPG")</f>
        <v>AS-SVC-OP-UPG</v>
      </c>
      <c r="B148" s="8" t="str">
        <f ca="1">IFERROR(__xludf.DUMMYFUNCTION("""COMPUTED_VALUE"""),"AS-SVC-OP-UPG - Small")</f>
        <v>AS-SVC-OP-UPG - Small</v>
      </c>
      <c r="C148" s="9" t="str">
        <f ca="1">IFERROR(__xludf.DUMMYFUNCTION("""COMPUTED_VALUE"""),"On-Prem Upgrade Services - Small")</f>
        <v>On-Prem Upgrade Services - Small</v>
      </c>
      <c r="D148" s="8" t="str">
        <f ca="1">IFERROR(__xludf.DUMMYFUNCTION("""COMPUTED_VALUE"""),"One-Time")</f>
        <v>One-Time</v>
      </c>
      <c r="E148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8" s="8" t="str">
        <f ca="1">IFERROR(__xludf.DUMMYFUNCTION("""COMPUTED_VALUE"""),"EUR")</f>
        <v>EUR</v>
      </c>
      <c r="G148" s="8">
        <f ca="1">IFERROR(__xludf.DUMMYFUNCTION("""COMPUTED_VALUE"""),4843)</f>
        <v>4843</v>
      </c>
      <c r="H148" s="10">
        <f ca="1">IFERROR(__xludf.DUMMYFUNCTION("""COMPUTED_VALUE"""),4843)</f>
        <v>4843</v>
      </c>
    </row>
    <row r="149" spans="1:8">
      <c r="A149" s="8" t="str">
        <f ca="1">IFERROR(__xludf.DUMMYFUNCTION("""COMPUTED_VALUE"""),"AS-SVC-OP-UPG")</f>
        <v>AS-SVC-OP-UPG</v>
      </c>
      <c r="B149" s="8" t="str">
        <f ca="1">IFERROR(__xludf.DUMMYFUNCTION("""COMPUTED_VALUE"""),"AS-SVC-OP-UPG - Large")</f>
        <v>AS-SVC-OP-UPG - Large</v>
      </c>
      <c r="C149" s="9" t="str">
        <f ca="1">IFERROR(__xludf.DUMMYFUNCTION("""COMPUTED_VALUE"""),"On-Prem Upgrade Services - Large")</f>
        <v>On-Prem Upgrade Services - Large</v>
      </c>
      <c r="D149" s="8" t="str">
        <f ca="1">IFERROR(__xludf.DUMMYFUNCTION("""COMPUTED_VALUE"""),"One-Time")</f>
        <v>One-Time</v>
      </c>
      <c r="E149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9" s="8" t="str">
        <f ca="1">IFERROR(__xludf.DUMMYFUNCTION("""COMPUTED_VALUE"""),"EUR")</f>
        <v>EUR</v>
      </c>
      <c r="G149" s="8">
        <f ca="1">IFERROR(__xludf.DUMMYFUNCTION("""COMPUTED_VALUE"""),19373)</f>
        <v>19373</v>
      </c>
      <c r="H149" s="10">
        <f ca="1">IFERROR(__xludf.DUMMYFUNCTION("""COMPUTED_VALUE"""),19373)</f>
        <v>19373</v>
      </c>
    </row>
    <row r="150" spans="1:8">
      <c r="A150" s="8" t="str">
        <f ca="1">IFERROR(__xludf.DUMMYFUNCTION("""COMPUTED_VALUE"""),"AS-SVC-OP-UPG")</f>
        <v>AS-SVC-OP-UPG</v>
      </c>
      <c r="B150" s="8" t="str">
        <f ca="1">IFERROR(__xludf.DUMMYFUNCTION("""COMPUTED_VALUE"""),"AS-SVC-OP-UPG - Medium")</f>
        <v>AS-SVC-OP-UPG - Medium</v>
      </c>
      <c r="C150" s="9" t="str">
        <f ca="1">IFERROR(__xludf.DUMMYFUNCTION("""COMPUTED_VALUE"""),"On-Prem Upgrade Services - Medium")</f>
        <v>On-Prem Upgrade Services - Medium</v>
      </c>
      <c r="D150" s="8" t="str">
        <f ca="1">IFERROR(__xludf.DUMMYFUNCTION("""COMPUTED_VALUE"""),"One-Time")</f>
        <v>One-Time</v>
      </c>
      <c r="E150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50" s="8" t="str">
        <f ca="1">IFERROR(__xludf.DUMMYFUNCTION("""COMPUTED_VALUE"""),"EUR")</f>
        <v>EUR</v>
      </c>
      <c r="G150" s="8">
        <f ca="1">IFERROR(__xludf.DUMMYFUNCTION("""COMPUTED_VALUE"""),9686)</f>
        <v>9686</v>
      </c>
      <c r="H150" s="10">
        <f ca="1">IFERROR(__xludf.DUMMYFUNCTION("""COMPUTED_VALUE"""),9686)</f>
        <v>9686</v>
      </c>
    </row>
    <row r="151" spans="1:8">
      <c r="A151" s="8" t="str">
        <f ca="1">IFERROR(__xludf.DUMMYFUNCTION("""COMPUTED_VALUE"""),"AS-SVC-POC")</f>
        <v>AS-SVC-POC</v>
      </c>
      <c r="B151" s="8" t="str">
        <f ca="1">IFERROR(__xludf.DUMMYFUNCTION("""COMPUTED_VALUE"""),"AS-SVC-POC Workplace Comms")</f>
        <v>AS-SVC-POC Workplace Comms</v>
      </c>
      <c r="C151" s="9" t="str">
        <f ca="1">IFERROR(__xludf.DUMMYFUNCTION("""COMPUTED_VALUE"""),"Proof of Concept Workplace Comms")</f>
        <v>Proof of Concept Workplace Comms</v>
      </c>
      <c r="D151" s="8" t="str">
        <f ca="1">IFERROR(__xludf.DUMMYFUNCTION("""COMPUTED_VALUE"""),"One-Time")</f>
        <v>One-Time</v>
      </c>
      <c r="E151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1" s="8" t="str">
        <f ca="1">IFERROR(__xludf.DUMMYFUNCTION("""COMPUTED_VALUE"""),"EUR")</f>
        <v>EUR</v>
      </c>
      <c r="G151" s="8">
        <f ca="1">IFERROR(__xludf.DUMMYFUNCTION("""COMPUTED_VALUE"""),2422)</f>
        <v>2422</v>
      </c>
      <c r="H151" s="10">
        <f ca="1">IFERROR(__xludf.DUMMYFUNCTION("""COMPUTED_VALUE"""),2422)</f>
        <v>2422</v>
      </c>
    </row>
    <row r="152" spans="1:8">
      <c r="A152" s="8" t="str">
        <f ca="1">IFERROR(__xludf.DUMMYFUNCTION("""COMPUTED_VALUE"""),"AS-SVC-POC")</f>
        <v>AS-SVC-POC</v>
      </c>
      <c r="B152" s="8" t="str">
        <f ca="1">IFERROR(__xludf.DUMMYFUNCTION("""COMPUTED_VALUE"""),"AS-SVC-POC Space Management")</f>
        <v>AS-SVC-POC Space Management</v>
      </c>
      <c r="C152" s="9" t="str">
        <f ca="1">IFERROR(__xludf.DUMMYFUNCTION("""COMPUTED_VALUE"""),"Proof of Concept Space Management")</f>
        <v>Proof of Concept Space Management</v>
      </c>
      <c r="D152" s="8" t="str">
        <f ca="1">IFERROR(__xludf.DUMMYFUNCTION("""COMPUTED_VALUE"""),"One-Time")</f>
        <v>One-Time</v>
      </c>
      <c r="E152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2" s="8" t="str">
        <f ca="1">IFERROR(__xludf.DUMMYFUNCTION("""COMPUTED_VALUE"""),"EUR")</f>
        <v>EUR</v>
      </c>
      <c r="G152" s="8">
        <f ca="1">IFERROR(__xludf.DUMMYFUNCTION("""COMPUTED_VALUE"""),2422)</f>
        <v>2422</v>
      </c>
      <c r="H152" s="10">
        <f ca="1">IFERROR(__xludf.DUMMYFUNCTION("""COMPUTED_VALUE"""),2422)</f>
        <v>2422</v>
      </c>
    </row>
    <row r="153" spans="1:8">
      <c r="A153" s="8" t="str">
        <f ca="1">IFERROR(__xludf.DUMMYFUNCTION("""COMPUTED_VALUE"""),"AS-SVC-POC")</f>
        <v>AS-SVC-POC</v>
      </c>
      <c r="B153" s="8" t="str">
        <f ca="1">IFERROR(__xludf.DUMMYFUNCTION("""COMPUTED_VALUE"""),"AS-SVC-POC Employee App")</f>
        <v>AS-SVC-POC Employee App</v>
      </c>
      <c r="C153" s="9" t="str">
        <f ca="1">IFERROR(__xludf.DUMMYFUNCTION("""COMPUTED_VALUE"""),"Proof of Concept Employee App")</f>
        <v>Proof of Concept Employee App</v>
      </c>
      <c r="D153" s="8" t="str">
        <f ca="1">IFERROR(__xludf.DUMMYFUNCTION("""COMPUTED_VALUE"""),"One-Time")</f>
        <v>One-Time</v>
      </c>
      <c r="E153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3" s="8" t="str">
        <f ca="1">IFERROR(__xludf.DUMMYFUNCTION("""COMPUTED_VALUE"""),"EUR")</f>
        <v>EUR</v>
      </c>
      <c r="G153" s="8">
        <f ca="1">IFERROR(__xludf.DUMMYFUNCTION("""COMPUTED_VALUE"""),2422)</f>
        <v>2422</v>
      </c>
      <c r="H153" s="10">
        <f ca="1">IFERROR(__xludf.DUMMYFUNCTION("""COMPUTED_VALUE"""),2422)</f>
        <v>2422</v>
      </c>
    </row>
    <row r="154" spans="1:8">
      <c r="A154" s="8" t="str">
        <f ca="1">IFERROR(__xludf.DUMMYFUNCTION("""COMPUTED_VALUE"""),"AS-SVC-RBC-QST")</f>
        <v>AS-SVC-RBC-QST</v>
      </c>
      <c r="B154" s="8" t="str">
        <f ca="1">IFERROR(__xludf.DUMMYFUNCTION("""COMPUTED_VALUE"""),"AS-SVC-RBC-QST")</f>
        <v>AS-SVC-RBC-QST</v>
      </c>
      <c r="C154" s="9" t="str">
        <f ca="1">IFERROR(__xludf.DUMMYFUNCTION("""COMPUTED_VALUE"""),"Room Booking Card Quick Start")</f>
        <v>Room Booking Card Quick Start</v>
      </c>
      <c r="D154" s="8" t="str">
        <f ca="1">IFERROR(__xludf.DUMMYFUNCTION("""COMPUTED_VALUE"""),"One-Time")</f>
        <v>One-Time</v>
      </c>
      <c r="E154" s="9" t="str">
        <f ca="1">IFERROR(__xludf.DUMMYFUNCTION("""COMPUTED_VALUE"""),"Room Booking Card Quick Start - Room Booking Card Setup. Workshop, configuration for up to 20 rooms, customized instruction and documentation, post-setup review and consultation")</f>
        <v>Room Booking Card Quick Start - Room Booking Card Setup. Workshop, configuration for up to 20 rooms, customized instruction and documentation, post-setup review and consultation</v>
      </c>
      <c r="F154" s="8" t="str">
        <f ca="1">IFERROR(__xludf.DUMMYFUNCTION("""COMPUTED_VALUE"""),"EUR")</f>
        <v>EUR</v>
      </c>
      <c r="G154" s="8">
        <f ca="1">IFERROR(__xludf.DUMMYFUNCTION("""COMPUTED_VALUE"""),4843)</f>
        <v>4843</v>
      </c>
      <c r="H154" s="10">
        <f ca="1">IFERROR(__xludf.DUMMYFUNCTION("""COMPUTED_VALUE"""),4843)</f>
        <v>4843</v>
      </c>
    </row>
    <row r="155" spans="1:8">
      <c r="A155" s="8" t="str">
        <f ca="1">IFERROR(__xludf.DUMMYFUNCTION("""COMPUTED_VALUE"""),"AS-SVC-SUPPORT-24-7")</f>
        <v>AS-SVC-SUPPORT-24-7</v>
      </c>
      <c r="B155" s="8" t="str">
        <f ca="1">IFERROR(__xludf.DUMMYFUNCTION("""COMPUTED_VALUE"""),"Annual Plan AS-SVC-SUPPORT-24-7")</f>
        <v>Annual Plan AS-SVC-SUPPORT-24-7</v>
      </c>
      <c r="C155" s="9" t="str">
        <f ca="1">IFERROR(__xludf.DUMMYFUNCTION("""COMPUTED_VALUE"""),"Support Add-on - 24-7")</f>
        <v>Support Add-on - 24-7</v>
      </c>
      <c r="D155" s="8" t="str">
        <f ca="1">IFERROR(__xludf.DUMMYFUNCTION("""COMPUTED_VALUE"""),"Recurring")</f>
        <v>Recurring</v>
      </c>
      <c r="E155" s="9" t="str">
        <f ca="1">IFERROR(__xludf.DUMMYFUNCTION("""COMPUTED_VALUE"""),"Appspace Support Add-on - 24-7. Provides round-the-clock Appspace Customer Care support: 1-hour SLA, 7 days a week, 24 hours per day, unlimited tickets per month, and 20 ticket administrators.")</f>
        <v>Appspace Support Add-on - 24-7. Provides round-the-clock Appspace Customer Care support: 1-hour SLA, 7 days a week, 24 hours per day, unlimited tickets per month, and 20 ticket administrators.</v>
      </c>
      <c r="F155" s="8" t="str">
        <f ca="1">IFERROR(__xludf.DUMMYFUNCTION("""COMPUTED_VALUE"""),"EUR")</f>
        <v>EUR</v>
      </c>
      <c r="G155" s="8">
        <f ca="1">IFERROR(__xludf.DUMMYFUNCTION("""COMPUTED_VALUE"""),2906)</f>
        <v>2906</v>
      </c>
      <c r="H155" s="10">
        <f ca="1">IFERROR(__xludf.DUMMYFUNCTION("""COMPUTED_VALUE"""),34872)</f>
        <v>34872</v>
      </c>
    </row>
    <row r="156" spans="1:8">
      <c r="A156" s="8" t="str">
        <f ca="1">IFERROR(__xludf.DUMMYFUNCTION("""COMPUTED_VALUE"""),"AS-SVC-SUPPORT-ELITE")</f>
        <v>AS-SVC-SUPPORT-ELITE</v>
      </c>
      <c r="B156" s="8" t="str">
        <f ca="1">IFERROR(__xludf.DUMMYFUNCTION("""COMPUTED_VALUE"""),"Annual Plan AS-SVC-SUPPORT-ELITE")</f>
        <v>Annual Plan AS-SVC-SUPPORT-ELITE</v>
      </c>
      <c r="C156" s="9" t="str">
        <f ca="1">IFERROR(__xludf.DUMMYFUNCTION("""COMPUTED_VALUE"""),"Support Add-on - Elite")</f>
        <v>Support Add-on - Elite</v>
      </c>
      <c r="D156" s="8" t="str">
        <f ca="1">IFERROR(__xludf.DUMMYFUNCTION("""COMPUTED_VALUE"""),"Recurring")</f>
        <v>Recurring</v>
      </c>
      <c r="E156" s="9" t="str">
        <f ca="1">IFERROR(__xludf.DUMMYFUNCTION("""COMPUTED_VALUE"""),"Appspace Support Add-on - Elite. Provides access to Elite-level Appspace Customer Care support.")</f>
        <v>Appspace Support Add-on - Elite. Provides access to Elite-level Appspace Customer Care support.</v>
      </c>
      <c r="F156" s="8" t="str">
        <f ca="1">IFERROR(__xludf.DUMMYFUNCTION("""COMPUTED_VALUE"""),"EUR")</f>
        <v>EUR</v>
      </c>
      <c r="G156" s="8">
        <f ca="1">IFERROR(__xludf.DUMMYFUNCTION("""COMPUTED_VALUE"""),969)</f>
        <v>969</v>
      </c>
      <c r="H156" s="10">
        <f ca="1">IFERROR(__xludf.DUMMYFUNCTION("""COMPUTED_VALUE"""),11628)</f>
        <v>11628</v>
      </c>
    </row>
    <row r="157" spans="1:8">
      <c r="A157" s="8" t="str">
        <f ca="1">IFERROR(__xludf.DUMMYFUNCTION("""COMPUTED_VALUE"""),"AS-SVC-SUPPORT-SAM")</f>
        <v>AS-SVC-SUPPORT-SAM</v>
      </c>
      <c r="B157" s="8" t="str">
        <f ca="1">IFERROR(__xludf.DUMMYFUNCTION("""COMPUTED_VALUE"""),"Annual Plan AS-SVC-SUPPORT-SAM")</f>
        <v>Annual Plan AS-SVC-SUPPORT-SAM</v>
      </c>
      <c r="C157" s="9" t="str">
        <f ca="1">IFERROR(__xludf.DUMMYFUNCTION("""COMPUTED_VALUE"""),"Support Account Manager")</f>
        <v>Support Account Manager</v>
      </c>
      <c r="D157" s="8" t="str">
        <f ca="1">IFERROR(__xludf.DUMMYFUNCTION("""COMPUTED_VALUE"""),"Recurring")</f>
        <v>Recurring</v>
      </c>
      <c r="E157" s="9" t="str">
        <f ca="1">IFERROR(__xludf.DUMMYFUNCTION("""COMPUTED_VALUE"""),"Appspace Support Account Manager Add-on. Provides access to a designated Support Account Manager who understands your Appspace deployment and manages your support workflow")</f>
        <v>Appspace Support Account Manager Add-on. Provides access to a designated Support Account Manager who understands your Appspace deployment and manages your support workflow</v>
      </c>
      <c r="F157" s="8" t="str">
        <f ca="1">IFERROR(__xludf.DUMMYFUNCTION("""COMPUTED_VALUE"""),"EUR")</f>
        <v>EUR</v>
      </c>
      <c r="G157" s="8">
        <f ca="1">IFERROR(__xludf.DUMMYFUNCTION("""COMPUTED_VALUE"""),3875)</f>
        <v>3875</v>
      </c>
      <c r="H157" s="10">
        <f ca="1">IFERROR(__xludf.DUMMYFUNCTION("""COMPUTED_VALUE"""),46500)</f>
        <v>46500</v>
      </c>
    </row>
    <row r="158" spans="1:8">
      <c r="A158" s="8" t="str">
        <f ca="1">IFERROR(__xludf.DUMMYFUNCTION("""COMPUTED_VALUE"""),"AS-SVC-SUPPORT-STR")</f>
        <v>AS-SVC-SUPPORT-STR</v>
      </c>
      <c r="B158" s="8" t="str">
        <f ca="1">IFERROR(__xludf.DUMMYFUNCTION("""COMPUTED_VALUE"""),"Annual Plan AS-SVC-SUPPORT-STR")</f>
        <v>Annual Plan AS-SVC-SUPPORT-STR</v>
      </c>
      <c r="C158" s="9" t="str">
        <f ca="1">IFERROR(__xludf.DUMMYFUNCTION("""COMPUTED_VALUE"""),"Support Add-on - Strategic")</f>
        <v>Support Add-on - Strategic</v>
      </c>
      <c r="D158" s="8" t="str">
        <f ca="1">IFERROR(__xludf.DUMMYFUNCTION("""COMPUTED_VALUE"""),"Recurring")</f>
        <v>Recurring</v>
      </c>
      <c r="E158" s="9" t="str">
        <f ca="1">IFERROR(__xludf.DUMMYFUNCTION("""COMPUTED_VALUE"""),"Appspace Support Add-on - Strategic. 24-7 Appspace Customer Care support, 1-hour SLA, unlimited tickets, 20 ticket administrators, executive-level sponsorship, dedicated 6-person support team, prioritized ticket handling, and monthly ticket analytics.")</f>
        <v>Appspace Support Add-on - Strategic. 24-7 Appspace Customer Care support, 1-hour SLA, unlimited tickets, 20 ticket administrators, executive-level sponsorship, dedicated 6-person support team, prioritized ticket handling, and monthly ticket analytics.</v>
      </c>
      <c r="F158" s="8" t="str">
        <f ca="1">IFERROR(__xludf.DUMMYFUNCTION("""COMPUTED_VALUE"""),"EUR")</f>
        <v>EUR</v>
      </c>
      <c r="G158" s="8">
        <f ca="1">IFERROR(__xludf.DUMMYFUNCTION("""COMPUTED_VALUE"""),9686)</f>
        <v>9686</v>
      </c>
      <c r="H158" s="10">
        <f ca="1">IFERROR(__xludf.DUMMYFUNCTION("""COMPUTED_VALUE"""),116232)</f>
        <v>116232</v>
      </c>
    </row>
    <row r="159" spans="1:8">
      <c r="A159" s="8" t="str">
        <f ca="1">IFERROR(__xludf.DUMMYFUNCTION("""COMPUTED_VALUE"""),"AS-SVC-TRAINING-ACC")</f>
        <v>AS-SVC-TRAINING-ACC</v>
      </c>
      <c r="B159" s="8" t="str">
        <f ca="1">IFERROR(__xludf.DUMMYFUNCTION("""COMPUTED_VALUE"""),"Annual Plan AS-SVC-TRAINING-ACC")</f>
        <v>Annual Plan AS-SVC-TRAINING-ACC</v>
      </c>
      <c r="C159" s="9" t="str">
        <f ca="1">IFERROR(__xludf.DUMMYFUNCTION("""COMPUTED_VALUE"""),"All-Access Training")</f>
        <v>All-Access Training</v>
      </c>
      <c r="D159" s="8" t="str">
        <f ca="1">IFERROR(__xludf.DUMMYFUNCTION("""COMPUTED_VALUE"""),"Recurring")</f>
        <v>Recurring</v>
      </c>
      <c r="E159" s="9" t="str">
        <f ca="1">IFERROR(__xludf.DUMMYFUNCTION("""COMPUTED_VALUE"""),"Twelve month, unlimited monthly access to Appspace Basic &amp; Premium trainings and workshops.")</f>
        <v>Twelve month, unlimited monthly access to Appspace Basic &amp; Premium trainings and workshops.</v>
      </c>
      <c r="F159" s="8" t="str">
        <f ca="1">IFERROR(__xludf.DUMMYFUNCTION("""COMPUTED_VALUE"""),"EUR")</f>
        <v>EUR</v>
      </c>
      <c r="G159" s="8">
        <f ca="1">IFERROR(__xludf.DUMMYFUNCTION("""COMPUTED_VALUE"""),1937)</f>
        <v>1937</v>
      </c>
      <c r="H159" s="10">
        <f ca="1">IFERROR(__xludf.DUMMYFUNCTION("""COMPUTED_VALUE"""),23244)</f>
        <v>23244</v>
      </c>
    </row>
    <row r="160" spans="1:8">
      <c r="A160" s="8" t="str">
        <f ca="1">IFERROR(__xludf.DUMMYFUNCTION("""COMPUTED_VALUE"""),"AS-SVC-TRAINING-BASIC")</f>
        <v>AS-SVC-TRAINING-BASIC</v>
      </c>
      <c r="B160" s="8" t="str">
        <f ca="1">IFERROR(__xludf.DUMMYFUNCTION("""COMPUTED_VALUE"""),"AS-SVC-TRAINING-BASIC-LEGACY")</f>
        <v>AS-SVC-TRAINING-BASIC-LEGACY</v>
      </c>
      <c r="C160" s="9" t="str">
        <f ca="1">IFERROR(__xludf.DUMMYFUNCTION("""COMPUTED_VALUE"""),"Platform Training Basic")</f>
        <v>Platform Training Basic</v>
      </c>
      <c r="D160" s="8" t="str">
        <f ca="1">IFERROR(__xludf.DUMMYFUNCTION("""COMPUTED_VALUE"""),"One-Time")</f>
        <v>One-Time</v>
      </c>
      <c r="E160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0" s="8" t="str">
        <f ca="1">IFERROR(__xludf.DUMMYFUNCTION("""COMPUTED_VALUE"""),"EUR")</f>
        <v>EUR</v>
      </c>
      <c r="G160" s="8">
        <f ca="1">IFERROR(__xludf.DUMMYFUNCTION("""COMPUTED_VALUE"""),484)</f>
        <v>484</v>
      </c>
      <c r="H160" s="8">
        <f ca="1">IFERROR(__xludf.DUMMYFUNCTION("""COMPUTED_VALUE"""),484)</f>
        <v>484</v>
      </c>
    </row>
    <row r="161" spans="1:8">
      <c r="A161" s="8" t="str">
        <f ca="1">IFERROR(__xludf.DUMMYFUNCTION("""COMPUTED_VALUE"""),"AS-SVC-TRAINING-BASIC")</f>
        <v>AS-SVC-TRAINING-BASIC</v>
      </c>
      <c r="B161" s="8" t="str">
        <f ca="1">IFERROR(__xludf.DUMMYFUNCTION("""COMPUTED_VALUE"""),"AS-SVC-TRAINING-BASIC")</f>
        <v>AS-SVC-TRAINING-BASIC</v>
      </c>
      <c r="C161" s="9" t="str">
        <f ca="1">IFERROR(__xludf.DUMMYFUNCTION("""COMPUTED_VALUE"""),"Platform Training Basic")</f>
        <v>Platform Training Basic</v>
      </c>
      <c r="D161" s="8" t="str">
        <f ca="1">IFERROR(__xludf.DUMMYFUNCTION("""COMPUTED_VALUE"""),"One-Time")</f>
        <v>One-Time</v>
      </c>
      <c r="E161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1" s="8" t="str">
        <f ca="1">IFERROR(__xludf.DUMMYFUNCTION("""COMPUTED_VALUE"""),"EUR")</f>
        <v>EUR</v>
      </c>
      <c r="G161" s="8">
        <f ca="1">IFERROR(__xludf.DUMMYFUNCTION("""COMPUTED_VALUE"""),484)</f>
        <v>484</v>
      </c>
      <c r="H161" s="10">
        <f ca="1">IFERROR(__xludf.DUMMYFUNCTION("""COMPUTED_VALUE"""),484)</f>
        <v>484</v>
      </c>
    </row>
    <row r="162" spans="1:8">
      <c r="A162" s="8" t="str">
        <f ca="1">IFERROR(__xludf.DUMMYFUNCTION("""COMPUTED_VALUE"""),"AS-SVC-TRAINING-PREMIUM")</f>
        <v>AS-SVC-TRAINING-PREMIUM</v>
      </c>
      <c r="B162" s="8" t="str">
        <f ca="1">IFERROR(__xludf.DUMMYFUNCTION("""COMPUTED_VALUE"""),"AS-SVC-TRAINING-PREMIUM")</f>
        <v>AS-SVC-TRAINING-PREMIUM</v>
      </c>
      <c r="C162" s="9" t="str">
        <f ca="1">IFERROR(__xludf.DUMMYFUNCTION("""COMPUTED_VALUE"""),"Platform Training Premium")</f>
        <v>Platform Training Premium</v>
      </c>
      <c r="D162" s="8" t="str">
        <f ca="1">IFERROR(__xludf.DUMMYFUNCTION("""COMPUTED_VALUE"""),"One-Time")</f>
        <v>One-Time</v>
      </c>
      <c r="E162" s="9" t="str">
        <f ca="1">IFERROR(__xludf.DUMMYFUNCTION("""COMPUTED_VALUE"""),"Appspace Platform Training - Premium. Half-day workshop with Appspace Subject Matter Experts, offering hands-on experience through labs and interactive exercises.")</f>
        <v>Appspace Platform Training - Premium. Half-day workshop with Appspace Subject Matter Experts, offering hands-on experience through labs and interactive exercises.</v>
      </c>
      <c r="F162" s="8" t="str">
        <f ca="1">IFERROR(__xludf.DUMMYFUNCTION("""COMPUTED_VALUE"""),"EUR")</f>
        <v>EUR</v>
      </c>
      <c r="G162" s="8">
        <f ca="1">IFERROR(__xludf.DUMMYFUNCTION("""COMPUTED_VALUE"""),2422)</f>
        <v>2422</v>
      </c>
      <c r="H162" s="10">
        <f ca="1">IFERROR(__xludf.DUMMYFUNCTION("""COMPUTED_VALUE"""),2422)</f>
        <v>2422</v>
      </c>
    </row>
    <row r="163" spans="1:8">
      <c r="A163" s="8" t="str">
        <f ca="1">IFERROR(__xludf.DUMMYFUNCTION("""COMPUTED_VALUE"""),"AS-SVC-VM-QST-BASIC")</f>
        <v>AS-SVC-VM-QST-BASIC</v>
      </c>
      <c r="B163" s="8" t="str">
        <f ca="1">IFERROR(__xludf.DUMMYFUNCTION("""COMPUTED_VALUE"""),"AS-SVC-VM-QST-BASIC")</f>
        <v>AS-SVC-VM-QST-BASIC</v>
      </c>
      <c r="C163" s="9" t="str">
        <f ca="1">IFERROR(__xludf.DUMMYFUNCTION("""COMPUTED_VALUE"""),"Visitor Management Quick Start Basic")</f>
        <v>Visitor Management Quick Start Basic</v>
      </c>
      <c r="D163" s="8" t="str">
        <f ca="1">IFERROR(__xludf.DUMMYFUNCTION("""COMPUTED_VALUE"""),"One-Time")</f>
        <v>One-Time</v>
      </c>
      <c r="E163" s="9" t="str">
        <f ca="1">IFERROR(__xludf.DUMMYFUNCTION("""COMPUTED_VALUE"""),"Visitor Management Quick Start Basic - Discovery session, customized setup documentation, administrator essentials on-demand webinar, pre-go-live setup review.")</f>
        <v>Visitor Management Quick Start Basic - Discovery session, customized setup documentation, administrator essentials on-demand webinar, pre-go-live setup review.</v>
      </c>
      <c r="F163" s="8" t="str">
        <f ca="1">IFERROR(__xludf.DUMMYFUNCTION("""COMPUTED_VALUE"""),"EUR")</f>
        <v>EUR</v>
      </c>
      <c r="G163" s="8">
        <f ca="1">IFERROR(__xludf.DUMMYFUNCTION("""COMPUTED_VALUE"""),2422)</f>
        <v>2422</v>
      </c>
      <c r="H163" s="10">
        <f ca="1">IFERROR(__xludf.DUMMYFUNCTION("""COMPUTED_VALUE"""),2422)</f>
        <v>2422</v>
      </c>
    </row>
    <row r="164" spans="1:8">
      <c r="A164" s="8" t="str">
        <f ca="1">IFERROR(__xludf.DUMMYFUNCTION("""COMPUTED_VALUE"""),"AS-SVC-VM-QST-ELITE")</f>
        <v>AS-SVC-VM-QST-ELITE</v>
      </c>
      <c r="B164" s="8" t="str">
        <f ca="1">IFERROR(__xludf.DUMMYFUNCTION("""COMPUTED_VALUE"""),"AS-SVC-VM-QST-ELITE")</f>
        <v>AS-SVC-VM-QST-ELITE</v>
      </c>
      <c r="C164" s="9" t="str">
        <f ca="1">IFERROR(__xludf.DUMMYFUNCTION("""COMPUTED_VALUE"""),"Visitor Management Quick Start Elite")</f>
        <v>Visitor Management Quick Start Elite</v>
      </c>
      <c r="D164" s="8" t="str">
        <f ca="1">IFERROR(__xludf.DUMMYFUNCTION("""COMPUTED_VALUE"""),"One-Time")</f>
        <v>One-Time</v>
      </c>
      <c r="E164" s="9" t="str">
        <f ca="1">IFERROR(__xludf.DUMMYFUNCTION("""COMPUTED_VALUE"""),"Visitor Management Quick Start Elite - Mutliple-configuration implementation. Discovery workshops, configurations, badge printing setup, branded checkpoint templates, four customized checkpoint templates, documentation, administrator training.")</f>
        <v>Visitor Management Quick Start Elite - Mutliple-configuration implementation. Discovery workshops, configurations, badge printing setup, branded checkpoint templates, four customized checkpoint templates, documentation, administrator training.</v>
      </c>
      <c r="F164" s="8" t="str">
        <f ca="1">IFERROR(__xludf.DUMMYFUNCTION("""COMPUTED_VALUE"""),"EUR")</f>
        <v>EUR</v>
      </c>
      <c r="G164" s="8">
        <f ca="1">IFERROR(__xludf.DUMMYFUNCTION("""COMPUTED_VALUE"""),19373)</f>
        <v>19373</v>
      </c>
      <c r="H164" s="10">
        <f ca="1">IFERROR(__xludf.DUMMYFUNCTION("""COMPUTED_VALUE"""),19373)</f>
        <v>19373</v>
      </c>
    </row>
    <row r="165" spans="1:8">
      <c r="A165" s="8" t="str">
        <f ca="1">IFERROR(__xludf.DUMMYFUNCTION("""COMPUTED_VALUE"""),"AS-SVC-VM-QST-PREMIUM")</f>
        <v>AS-SVC-VM-QST-PREMIUM</v>
      </c>
      <c r="B165" s="8" t="str">
        <f ca="1">IFERROR(__xludf.DUMMYFUNCTION("""COMPUTED_VALUE"""),"AS-SVC-VM-QST-PREMIUM")</f>
        <v>AS-SVC-VM-QST-PREMIUM</v>
      </c>
      <c r="C165" s="9" t="str">
        <f ca="1">IFERROR(__xludf.DUMMYFUNCTION("""COMPUTED_VALUE"""),"Visitor Management Quick Start Premium")</f>
        <v>Visitor Management Quick Start Premium</v>
      </c>
      <c r="D165" s="8" t="str">
        <f ca="1">IFERROR(__xludf.DUMMYFUNCTION("""COMPUTED_VALUE"""),"One-Time")</f>
        <v>One-Time</v>
      </c>
      <c r="E165" s="9" t="str">
        <f ca="1">IFERROR(__xludf.DUMMYFUNCTION("""COMPUTED_VALUE"""),"Visitor Management Quick Start Premium - Single-configuration implementation. Discovery workshop, configuration, badge printing setup, branded checkpoint templates, two customized checkpoint templates, documentation, administrator training.")</f>
        <v>Visitor Management Quick Start Premium - Single-configuration implementation. Discovery workshop, configuration, badge printing setup, branded checkpoint templates, two customized checkpoint templates, documentation, administrator training.</v>
      </c>
      <c r="F165" s="8" t="str">
        <f ca="1">IFERROR(__xludf.DUMMYFUNCTION("""COMPUTED_VALUE"""),"EUR")</f>
        <v>EUR</v>
      </c>
      <c r="G165" s="8">
        <f ca="1">IFERROR(__xludf.DUMMYFUNCTION("""COMPUTED_VALUE"""),9686)</f>
        <v>9686</v>
      </c>
      <c r="H165" s="10">
        <f ca="1">IFERROR(__xludf.DUMMYFUNCTION("""COMPUTED_VALUE"""),9686)</f>
        <v>9686</v>
      </c>
    </row>
    <row r="166" spans="1:8">
      <c r="A166" s="8" t="str">
        <f ca="1">IFERROR(__xludf.DUMMYFUNCTION("""COMPUTED_VALUE"""),"AS-SVC-WF-BASIC")</f>
        <v>AS-SVC-WF-BASIC</v>
      </c>
      <c r="B166" s="8" t="str">
        <f ca="1">IFERROR(__xludf.DUMMYFUNCTION("""COMPUTED_VALUE"""),"AS-SVC-WF-BASIC With 2D Map")</f>
        <v>AS-SVC-WF-BASIC With 2D Map</v>
      </c>
      <c r="C166" s="9" t="str">
        <f ca="1">IFERROR(__xludf.DUMMYFUNCTION("""COMPUTED_VALUE"""),"Appspace Wayfinding Basic")</f>
        <v>Appspace Wayfinding Basic</v>
      </c>
      <c r="D166" s="8" t="str">
        <f ca="1">IFERROR(__xludf.DUMMYFUNCTION("""COMPUTED_VALUE"""),"One-Time")</f>
        <v>One-Time</v>
      </c>
      <c r="E166" s="9" t="str">
        <f ca="1">IFERROR(__xludf.DUMMYFUNCTION("""COMPUTED_VALUE"""),"Appspace Wayfinding")</f>
        <v>Appspace Wayfinding</v>
      </c>
      <c r="F166" s="8" t="str">
        <f ca="1">IFERROR(__xludf.DUMMYFUNCTION("""COMPUTED_VALUE"""),"EUR")</f>
        <v>EUR</v>
      </c>
      <c r="G166" s="8">
        <f ca="1">IFERROR(__xludf.DUMMYFUNCTION("""COMPUTED_VALUE"""),4843)</f>
        <v>4843</v>
      </c>
      <c r="H166" s="10">
        <f ca="1">IFERROR(__xludf.DUMMYFUNCTION("""COMPUTED_VALUE"""),4843)</f>
        <v>4843</v>
      </c>
    </row>
    <row r="167" spans="1:8">
      <c r="A167" s="8" t="str">
        <f ca="1">IFERROR(__xludf.DUMMYFUNCTION("""COMPUTED_VALUE"""),"AS-SVC-WF-BASIC")</f>
        <v>AS-SVC-WF-BASIC</v>
      </c>
      <c r="B167" s="8" t="str">
        <f ca="1">IFERROR(__xludf.DUMMYFUNCTION("""COMPUTED_VALUE"""),"AS-SVC-WF-BASIC With 3D Map")</f>
        <v>AS-SVC-WF-BASIC With 3D Map</v>
      </c>
      <c r="C167" s="9" t="str">
        <f ca="1">IFERROR(__xludf.DUMMYFUNCTION("""COMPUTED_VALUE"""),"Appspace Wayfinding Basic")</f>
        <v>Appspace Wayfinding Basic</v>
      </c>
      <c r="D167" s="8" t="str">
        <f ca="1">IFERROR(__xludf.DUMMYFUNCTION("""COMPUTED_VALUE"""),"One-Time")</f>
        <v>One-Time</v>
      </c>
      <c r="E167" s="9" t="str">
        <f ca="1">IFERROR(__xludf.DUMMYFUNCTION("""COMPUTED_VALUE"""),"Appspace Wayfinding")</f>
        <v>Appspace Wayfinding</v>
      </c>
      <c r="F167" s="8" t="str">
        <f ca="1">IFERROR(__xludf.DUMMYFUNCTION("""COMPUTED_VALUE"""),"EUR")</f>
        <v>EUR</v>
      </c>
      <c r="G167" s="8">
        <f ca="1">IFERROR(__xludf.DUMMYFUNCTION("""COMPUTED_VALUE"""),4843)</f>
        <v>4843</v>
      </c>
      <c r="H167" s="10">
        <f ca="1">IFERROR(__xludf.DUMMYFUNCTION("""COMPUTED_VALUE"""),4843)</f>
        <v>4843</v>
      </c>
    </row>
    <row r="168" spans="1:8">
      <c r="A168" s="8" t="str">
        <f ca="1">IFERROR(__xludf.DUMMYFUNCTION("""COMPUTED_VALUE"""),"AS-SVC-WF-ELITE")</f>
        <v>AS-SVC-WF-ELITE</v>
      </c>
      <c r="B168" s="8" t="str">
        <f ca="1">IFERROR(__xludf.DUMMYFUNCTION("""COMPUTED_VALUE"""),"AS-SVC-WF-ELITE")</f>
        <v>AS-SVC-WF-ELITE</v>
      </c>
      <c r="C168" s="9" t="str">
        <f ca="1">IFERROR(__xludf.DUMMYFUNCTION("""COMPUTED_VALUE"""),"Wayfinding - Elite")</f>
        <v>Wayfinding - Elite</v>
      </c>
      <c r="D168" s="8" t="str">
        <f ca="1">IFERROR(__xludf.DUMMYFUNCTION("""COMPUTED_VALUE"""),"One-Time")</f>
        <v>One-Time</v>
      </c>
      <c r="E168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8" s="8" t="str">
        <f ca="1">IFERROR(__xludf.DUMMYFUNCTION("""COMPUTED_VALUE"""),"EUR")</f>
        <v>EUR</v>
      </c>
      <c r="G168" s="8">
        <f ca="1">IFERROR(__xludf.DUMMYFUNCTION("""COMPUTED_VALUE"""),19373)</f>
        <v>19373</v>
      </c>
      <c r="H168" s="10">
        <f ca="1">IFERROR(__xludf.DUMMYFUNCTION("""COMPUTED_VALUE"""),19373)</f>
        <v>19373</v>
      </c>
    </row>
    <row r="169" spans="1:8">
      <c r="A169" s="8" t="str">
        <f ca="1">IFERROR(__xludf.DUMMYFUNCTION("""COMPUTED_VALUE"""),"AS-SVC-WF-ELITE")</f>
        <v>AS-SVC-WF-ELITE</v>
      </c>
      <c r="B169" s="8" t="str">
        <f ca="1">IFERROR(__xludf.DUMMYFUNCTION("""COMPUTED_VALUE"""),"AS-SVC-WF-ELITE 2D")</f>
        <v>AS-SVC-WF-ELITE 2D</v>
      </c>
      <c r="C169" s="9" t="str">
        <f ca="1">IFERROR(__xludf.DUMMYFUNCTION("""COMPUTED_VALUE"""),"Wayfinding - Elite")</f>
        <v>Wayfinding - Elite</v>
      </c>
      <c r="D169" s="8" t="str">
        <f ca="1">IFERROR(__xludf.DUMMYFUNCTION("""COMPUTED_VALUE"""),"One-Time")</f>
        <v>One-Time</v>
      </c>
      <c r="E169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9" s="8" t="str">
        <f ca="1">IFERROR(__xludf.DUMMYFUNCTION("""COMPUTED_VALUE"""),"EUR")</f>
        <v>EUR</v>
      </c>
      <c r="G169" s="8">
        <f ca="1">IFERROR(__xludf.DUMMYFUNCTION("""COMPUTED_VALUE"""),24216)</f>
        <v>24216</v>
      </c>
      <c r="H169" s="10">
        <f ca="1">IFERROR(__xludf.DUMMYFUNCTION("""COMPUTED_VALUE"""),24216)</f>
        <v>24216</v>
      </c>
    </row>
    <row r="170" spans="1:8">
      <c r="A170" s="8" t="str">
        <f ca="1">IFERROR(__xludf.DUMMYFUNCTION("""COMPUTED_VALUE"""),"AS-SVC-WF-ELITE")</f>
        <v>AS-SVC-WF-ELITE</v>
      </c>
      <c r="B170" s="8" t="str">
        <f ca="1">IFERROR(__xludf.DUMMYFUNCTION("""COMPUTED_VALUE"""),"AS-SVC-WF-ELITE 3D")</f>
        <v>AS-SVC-WF-ELITE 3D</v>
      </c>
      <c r="C170" s="9" t="str">
        <f ca="1">IFERROR(__xludf.DUMMYFUNCTION("""COMPUTED_VALUE"""),"Wayfinding - Elite")</f>
        <v>Wayfinding - Elite</v>
      </c>
      <c r="D170" s="8" t="str">
        <f ca="1">IFERROR(__xludf.DUMMYFUNCTION("""COMPUTED_VALUE"""),"One-Time")</f>
        <v>One-Time</v>
      </c>
      <c r="E170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70" s="8" t="str">
        <f ca="1">IFERROR(__xludf.DUMMYFUNCTION("""COMPUTED_VALUE"""),"EUR")</f>
        <v>EUR</v>
      </c>
      <c r="G170" s="8">
        <f ca="1">IFERROR(__xludf.DUMMYFUNCTION("""COMPUTED_VALUE"""),24216)</f>
        <v>24216</v>
      </c>
      <c r="H170" s="10">
        <f ca="1">IFERROR(__xludf.DUMMYFUNCTION("""COMPUTED_VALUE"""),24216)</f>
        <v>24216</v>
      </c>
    </row>
    <row r="171" spans="1:8">
      <c r="A171" s="8" t="str">
        <f ca="1">IFERROR(__xludf.DUMMYFUNCTION("""COMPUTED_VALUE"""),"AS-SVC-WF-PREMIUM")</f>
        <v>AS-SVC-WF-PREMIUM</v>
      </c>
      <c r="B171" s="8" t="str">
        <f ca="1">IFERROR(__xludf.DUMMYFUNCTION("""COMPUTED_VALUE"""),"AS-SVC-WF-PREMIUM With 2D Map")</f>
        <v>AS-SVC-WF-PREMIUM With 2D Map</v>
      </c>
      <c r="C171" s="9" t="str">
        <f ca="1">IFERROR(__xludf.DUMMYFUNCTION("""COMPUTED_VALUE"""),"Appspace Wayfinding Premium")</f>
        <v>Appspace Wayfinding Premium</v>
      </c>
      <c r="D171" s="8" t="str">
        <f ca="1">IFERROR(__xludf.DUMMYFUNCTION("""COMPUTED_VALUE"""),"One-Time")</f>
        <v>One-Time</v>
      </c>
      <c r="E171" s="9" t="str">
        <f ca="1">IFERROR(__xludf.DUMMYFUNCTION("""COMPUTED_VALUE"""),"Wayfinding - Premium")</f>
        <v>Wayfinding - Premium</v>
      </c>
      <c r="F171" s="8" t="str">
        <f ca="1">IFERROR(__xludf.DUMMYFUNCTION("""COMPUTED_VALUE"""),"EUR")</f>
        <v>EUR</v>
      </c>
      <c r="G171" s="8">
        <f ca="1">IFERROR(__xludf.DUMMYFUNCTION("""COMPUTED_VALUE"""),9686)</f>
        <v>9686</v>
      </c>
      <c r="H171" s="10">
        <f ca="1">IFERROR(__xludf.DUMMYFUNCTION("""COMPUTED_VALUE"""),9686)</f>
        <v>9686</v>
      </c>
    </row>
    <row r="172" spans="1:8">
      <c r="A172" s="8" t="str">
        <f ca="1">IFERROR(__xludf.DUMMYFUNCTION("""COMPUTED_VALUE"""),"AS-SVC-WPM-ADVISORY")</f>
        <v>AS-SVC-WPM-ADVISORY</v>
      </c>
      <c r="B172" s="8" t="str">
        <f ca="1">IFERROR(__xludf.DUMMYFUNCTION("""COMPUTED_VALUE"""),"Annual Plan AS-SVC-WPM-ADVISORY")</f>
        <v>Annual Plan AS-SVC-WPM-ADVISORY</v>
      </c>
      <c r="C172" s="9" t="str">
        <f ca="1">IFERROR(__xludf.DUMMYFUNCTION("""COMPUTED_VALUE"""),"Workplace Management Advisory")</f>
        <v>Workplace Management Advisory</v>
      </c>
      <c r="D172" s="8" t="str">
        <f ca="1">IFERROR(__xludf.DUMMYFUNCTION("""COMPUTED_VALUE"""),"Recurring")</f>
        <v>Recurring</v>
      </c>
      <c r="E172" s="9" t="str">
        <f ca="1">IFERROR(__xludf.DUMMYFUNCTION("""COMPUTED_VALUE"""),"Workplace Management Advisory - Comprehensive Workplace Management strategy for your digital &amp; physical workplaces. Ongoing strategic insight into platform usage, industry trends, and product development.")</f>
        <v>Workplace Management Advisory - Comprehensive Workplace Management strategy for your digital &amp; physical workplaces. Ongoing strategic insight into platform usage, industry trends, and product development.</v>
      </c>
      <c r="F172" s="8" t="str">
        <f ca="1">IFERROR(__xludf.DUMMYFUNCTION("""COMPUTED_VALUE"""),"EUR")</f>
        <v>EUR</v>
      </c>
      <c r="G172" s="8">
        <f ca="1">IFERROR(__xludf.DUMMYFUNCTION("""COMPUTED_VALUE"""),2906)</f>
        <v>2906</v>
      </c>
      <c r="H172" s="10">
        <f ca="1">IFERROR(__xludf.DUMMYFUNCTION("""COMPUTED_VALUE"""),34872)</f>
        <v>34872</v>
      </c>
    </row>
    <row r="173" spans="1:8">
      <c r="A173" s="8" t="str">
        <f ca="1">IFERROR(__xludf.DUMMYFUNCTION("""COMPUTED_VALUE"""),"AS-SVC-WPM-QST-ELITE")</f>
        <v>AS-SVC-WPM-QST-ELITE</v>
      </c>
      <c r="B173" s="8" t="str">
        <f ca="1">IFERROR(__xludf.DUMMYFUNCTION("""COMPUTED_VALUE"""),"AS-SVC-WPM-QST-ELITE")</f>
        <v>AS-SVC-WPM-QST-ELITE</v>
      </c>
      <c r="C173" s="9" t="str">
        <f ca="1">IFERROR(__xludf.DUMMYFUNCTION("""COMPUTED_VALUE"""),"Workplace Management Quick Start Elite")</f>
        <v>Workplace Management Quick Start Elite</v>
      </c>
      <c r="D173" s="8" t="str">
        <f ca="1">IFERROR(__xludf.DUMMYFUNCTION("""COMPUTED_VALUE"""),"One-Time")</f>
        <v>One-Time</v>
      </c>
      <c r="E173" s="9" t="str">
        <f ca="1">IFERROR(__xludf.DUMMYFUNCTION("""COMPUTED_VALUE"""),"Workplace Management Quick Start Elite - Multiple-location implementation. Customized implementation plan, Elite Quick Start for Space Reservation, Room Booking, Visitor Management, Elite Wayfinding kiosk. Includes up to first 15 floors.")</f>
        <v>Workplace Management Quick Start Elite - Multiple-location implementation. Customized implementation plan, Elite Quick Start for Space Reservation, Room Booking, Visitor Management, Elite Wayfinding kiosk. Includes up to first 15 floors.</v>
      </c>
      <c r="F173" s="8" t="str">
        <f ca="1">IFERROR(__xludf.DUMMYFUNCTION("""COMPUTED_VALUE"""),"EUR")</f>
        <v>EUR</v>
      </c>
      <c r="G173" s="8">
        <f ca="1">IFERROR(__xludf.DUMMYFUNCTION("""COMPUTED_VALUE"""),77490)</f>
        <v>77490</v>
      </c>
      <c r="H173" s="10">
        <f ca="1">IFERROR(__xludf.DUMMYFUNCTION("""COMPUTED_VALUE"""),77490)</f>
        <v>77490</v>
      </c>
    </row>
    <row r="174" spans="1:8">
      <c r="A174" s="8" t="str">
        <f ca="1">IFERROR(__xludf.DUMMYFUNCTION("""COMPUTED_VALUE"""),"AS-SVC-WPM-QST-PREMIUM")</f>
        <v>AS-SVC-WPM-QST-PREMIUM</v>
      </c>
      <c r="B174" s="8" t="str">
        <f ca="1">IFERROR(__xludf.DUMMYFUNCTION("""COMPUTED_VALUE"""),"AS-SVC-WPM-QST-PREMIUM")</f>
        <v>AS-SVC-WPM-QST-PREMIUM</v>
      </c>
      <c r="C174" s="9" t="str">
        <f ca="1">IFERROR(__xludf.DUMMYFUNCTION("""COMPUTED_VALUE"""),"Workplace Management Quick Start Premium")</f>
        <v>Workplace Management Quick Start Premium</v>
      </c>
      <c r="D174" s="8" t="str">
        <f ca="1">IFERROR(__xludf.DUMMYFUNCTION("""COMPUTED_VALUE"""),"One-Time")</f>
        <v>One-Time</v>
      </c>
      <c r="E174" s="9" t="str">
        <f ca="1">IFERROR(__xludf.DUMMYFUNCTION("""COMPUTED_VALUE"""),"Workplace Management Quick Start Premium - Single-location implementation. Customized implementation plan, Premium Quick Start for Space Reservation, Room Booking, Visitor Management, Elite Wayfinding Kiosk. Includes up to first 10 floors.")</f>
        <v>Workplace Management Quick Start Premium - Single-location implementation. Customized implementation plan, Premium Quick Start for Space Reservation, Room Booking, Visitor Management, Elite Wayfinding Kiosk. Includes up to first 10 floors.</v>
      </c>
      <c r="F174" s="8" t="str">
        <f ca="1">IFERROR(__xludf.DUMMYFUNCTION("""COMPUTED_VALUE"""),"EUR")</f>
        <v>EUR</v>
      </c>
      <c r="G174" s="8">
        <f ca="1">IFERROR(__xludf.DUMMYFUNCTION("""COMPUTED_VALUE"""),48431)</f>
        <v>48431</v>
      </c>
      <c r="H174" s="10">
        <f ca="1">IFERROR(__xludf.DUMMYFUNCTION("""COMPUTED_VALUE"""),48431)</f>
        <v>48431</v>
      </c>
    </row>
    <row r="175" spans="1:8">
      <c r="A175" s="8" t="str">
        <f ca="1">IFERROR(__xludf.DUMMYFUNCTION("""COMPUTED_VALUE"""),"AS-SVC-WXP-ADVISORY")</f>
        <v>AS-SVC-WXP-ADVISORY</v>
      </c>
      <c r="B175" s="8" t="str">
        <f ca="1">IFERROR(__xludf.DUMMYFUNCTION("""COMPUTED_VALUE"""),"Annual Plan AS-SVC-WXP-ADVISORY")</f>
        <v>Annual Plan AS-SVC-WXP-ADVISORY</v>
      </c>
      <c r="C175" s="9" t="str">
        <f ca="1">IFERROR(__xludf.DUMMYFUNCTION("""COMPUTED_VALUE"""),"Workplace Experience Advisory")</f>
        <v>Workplace Experience Advisory</v>
      </c>
      <c r="D175" s="8" t="str">
        <f ca="1">IFERROR(__xludf.DUMMYFUNCTION("""COMPUTED_VALUE"""),"Recurring")</f>
        <v>Recurring</v>
      </c>
      <c r="E175" s="9" t="str">
        <f ca="1">IFERROR(__xludf.DUMMYFUNCTION("""COMPUTED_VALUE"""),"Workplace Experience Advisory - Comprehensive strategy for your digital &amp; physical workplaces. Ongoing strategic insights into platform usage, industry trends and product development.")</f>
        <v>Workplace Experience Advisory - Comprehensive strategy for your digital &amp; physical workplaces. Ongoing strategic insights into platform usage, industry trends and product development.</v>
      </c>
      <c r="F175" s="8" t="str">
        <f ca="1">IFERROR(__xludf.DUMMYFUNCTION("""COMPUTED_VALUE"""),"EUR")</f>
        <v>EUR</v>
      </c>
      <c r="G175" s="8">
        <f ca="1">IFERROR(__xludf.DUMMYFUNCTION("""COMPUTED_VALUE"""),3875)</f>
        <v>3875</v>
      </c>
      <c r="H175" s="10">
        <f ca="1">IFERROR(__xludf.DUMMYFUNCTION("""COMPUTED_VALUE"""),46500)</f>
        <v>46500</v>
      </c>
    </row>
    <row r="176" spans="1:8">
      <c r="A176" s="8" t="str">
        <f ca="1">IFERROR(__xludf.DUMMYFUNCTION("""COMPUTED_VALUE"""),"AS-USR-SUPPORT-CL")</f>
        <v>AS-USR-SUPPORT-CL</v>
      </c>
      <c r="B176" s="8" t="str">
        <f ca="1">IFERROR(__xludf.DUMMYFUNCTION("""COMPUTED_VALUE"""),"Custom Plan AS-USR-SUPPORT-CL")</f>
        <v>Custom Plan AS-USR-SUPPORT-CL</v>
      </c>
      <c r="C176" s="9" t="str">
        <f ca="1">IFERROR(__xludf.DUMMYFUNCTION("""COMPUTED_VALUE"""),"Support User License")</f>
        <v>Support User License</v>
      </c>
      <c r="D176" s="8" t="str">
        <f ca="1">IFERROR(__xludf.DUMMYFUNCTION("""COMPUTED_VALUE"""),"Recurring")</f>
        <v>Recurring</v>
      </c>
      <c r="E17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6" s="8" t="str">
        <f ca="1">IFERROR(__xludf.DUMMYFUNCTION("""COMPUTED_VALUE"""),"EUR")</f>
        <v>EUR</v>
      </c>
      <c r="G176" s="8">
        <f ca="1">IFERROR(__xludf.DUMMYFUNCTION("""COMPUTED_VALUE"""),24.22)</f>
        <v>24.22</v>
      </c>
      <c r="H176" s="8">
        <f ca="1">IFERROR(__xludf.DUMMYFUNCTION("""COMPUTED_VALUE"""),290.64)</f>
        <v>290.64</v>
      </c>
    </row>
    <row r="177" spans="1:8">
      <c r="A177" s="8" t="str">
        <f ca="1">IFERROR(__xludf.DUMMYFUNCTION("""COMPUTED_VALUE"""),"AS-USR-SUPPORT-CL")</f>
        <v>AS-USR-SUPPORT-CL</v>
      </c>
      <c r="B177" s="8" t="str">
        <f ca="1">IFERROR(__xludf.DUMMYFUNCTION("""COMPUTED_VALUE"""),"Monthly AS-USR-SUPPORT-CL")</f>
        <v>Monthly AS-USR-SUPPORT-CL</v>
      </c>
      <c r="C177" s="9" t="str">
        <f ca="1">IFERROR(__xludf.DUMMYFUNCTION("""COMPUTED_VALUE"""),"Support User License")</f>
        <v>Support User License</v>
      </c>
      <c r="D177" s="8" t="str">
        <f ca="1">IFERROR(__xludf.DUMMYFUNCTION("""COMPUTED_VALUE"""),"Recurring")</f>
        <v>Recurring</v>
      </c>
      <c r="E17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7" s="8" t="str">
        <f ca="1">IFERROR(__xludf.DUMMYFUNCTION("""COMPUTED_VALUE"""),"EUR")</f>
        <v>EUR</v>
      </c>
      <c r="G177" s="8">
        <f ca="1">IFERROR(__xludf.DUMMYFUNCTION("""COMPUTED_VALUE"""),29.06)</f>
        <v>29.06</v>
      </c>
      <c r="H177" s="8">
        <f ca="1">IFERROR(__xludf.DUMMYFUNCTION("""COMPUTED_VALUE"""),348.72)</f>
        <v>348.72</v>
      </c>
    </row>
    <row r="178" spans="1:8">
      <c r="A178" s="8" t="str">
        <f ca="1">IFERROR(__xludf.DUMMYFUNCTION("""COMPUTED_VALUE"""),"AS-USR-SUPPORT-CL")</f>
        <v>AS-USR-SUPPORT-CL</v>
      </c>
      <c r="B178" s="8" t="str">
        <f ca="1">IFERROR(__xludf.DUMMYFUNCTION("""COMPUTED_VALUE"""),"Annual Plan AS-USR-SUPPORT-CL")</f>
        <v>Annual Plan AS-USR-SUPPORT-CL</v>
      </c>
      <c r="C178" s="9" t="str">
        <f ca="1">IFERROR(__xludf.DUMMYFUNCTION("""COMPUTED_VALUE"""),"Support User License")</f>
        <v>Support User License</v>
      </c>
      <c r="D178" s="8" t="str">
        <f ca="1">IFERROR(__xludf.DUMMYFUNCTION("""COMPUTED_VALUE"""),"Recurring")</f>
        <v>Recurring</v>
      </c>
      <c r="E178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8" s="8" t="str">
        <f ca="1">IFERROR(__xludf.DUMMYFUNCTION("""COMPUTED_VALUE"""),"EUR")</f>
        <v>EUR</v>
      </c>
      <c r="G178" s="8">
        <f ca="1">IFERROR(__xludf.DUMMYFUNCTION("""COMPUTED_VALUE"""),24.22)</f>
        <v>24.22</v>
      </c>
      <c r="H178" s="8">
        <f ca="1">IFERROR(__xludf.DUMMYFUNCTION("""COMPUTED_VALUE"""),290.64)</f>
        <v>290.64</v>
      </c>
    </row>
    <row r="179" spans="1:8">
      <c r="A179" s="8" t="str">
        <f ca="1">IFERROR(__xludf.DUMMYFUNCTION("""COMPUTED_VALUE"""),"AS-USR-SUPPORT-CL")</f>
        <v>AS-USR-SUPPORT-CL</v>
      </c>
      <c r="B179" s="8" t="str">
        <f ca="1">IFERROR(__xludf.DUMMYFUNCTION("""COMPUTED_VALUE"""),"Prepaid Plan AS-USR-SUPPORT-CL")</f>
        <v>Prepaid Plan AS-USR-SUPPORT-CL</v>
      </c>
      <c r="C179" s="9" t="str">
        <f ca="1">IFERROR(__xludf.DUMMYFUNCTION("""COMPUTED_VALUE"""),"Support User License")</f>
        <v>Support User License</v>
      </c>
      <c r="D179" s="8" t="str">
        <f ca="1">IFERROR(__xludf.DUMMYFUNCTION("""COMPUTED_VALUE"""),"Recurring")</f>
        <v>Recurring</v>
      </c>
      <c r="E179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9" s="8" t="str">
        <f ca="1">IFERROR(__xludf.DUMMYFUNCTION("""COMPUTED_VALUE"""),"EUR")</f>
        <v>EUR</v>
      </c>
      <c r="G179" s="8">
        <f ca="1">IFERROR(__xludf.DUMMYFUNCTION("""COMPUTED_VALUE"""),24.22)</f>
        <v>24.22</v>
      </c>
      <c r="H179" s="8">
        <f ca="1">IFERROR(__xludf.DUMMYFUNCTION("""COMPUTED_VALUE"""),290.64)</f>
        <v>290.64</v>
      </c>
    </row>
    <row r="180" spans="1:8">
      <c r="A180" s="8" t="str">
        <f ca="1">IFERROR(__xludf.DUMMYFUNCTION("""COMPUTED_VALUE"""),"AS-USR-SUPPORT-OP")</f>
        <v>AS-USR-SUPPORT-OP</v>
      </c>
      <c r="B180" s="8" t="str">
        <f ca="1">IFERROR(__xludf.DUMMYFUNCTION("""COMPUTED_VALUE"""),"Monthly AS-USR-SUPPORT-OP")</f>
        <v>Monthly AS-USR-SUPPORT-OP</v>
      </c>
      <c r="C180" s="9" t="str">
        <f ca="1">IFERROR(__xludf.DUMMYFUNCTION("""COMPUTED_VALUE"""),"Support User License")</f>
        <v>Support User License</v>
      </c>
      <c r="D180" s="8" t="str">
        <f ca="1">IFERROR(__xludf.DUMMYFUNCTION("""COMPUTED_VALUE"""),"Recurring")</f>
        <v>Recurring</v>
      </c>
      <c r="E180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0" s="8" t="str">
        <f ca="1">IFERROR(__xludf.DUMMYFUNCTION("""COMPUTED_VALUE"""),"EUR")</f>
        <v>EUR</v>
      </c>
      <c r="G180" s="8">
        <f ca="1">IFERROR(__xludf.DUMMYFUNCTION("""COMPUTED_VALUE"""),58.12)</f>
        <v>58.12</v>
      </c>
      <c r="H180" s="8">
        <f ca="1">IFERROR(__xludf.DUMMYFUNCTION("""COMPUTED_VALUE"""),697.44)</f>
        <v>697.44</v>
      </c>
    </row>
    <row r="181" spans="1:8">
      <c r="A181" s="8" t="str">
        <f ca="1">IFERROR(__xludf.DUMMYFUNCTION("""COMPUTED_VALUE"""),"AS-USR-SUPPORT-OP")</f>
        <v>AS-USR-SUPPORT-OP</v>
      </c>
      <c r="B181" s="8" t="str">
        <f ca="1">IFERROR(__xludf.DUMMYFUNCTION("""COMPUTED_VALUE"""),"Prepaid Plan AS-USR-SUPPORT-OP")</f>
        <v>Prepaid Plan AS-USR-SUPPORT-OP</v>
      </c>
      <c r="C181" s="9" t="str">
        <f ca="1">IFERROR(__xludf.DUMMYFUNCTION("""COMPUTED_VALUE"""),"Support User License")</f>
        <v>Support User License</v>
      </c>
      <c r="D181" s="8" t="str">
        <f ca="1">IFERROR(__xludf.DUMMYFUNCTION("""COMPUTED_VALUE"""),"Recurring")</f>
        <v>Recurring</v>
      </c>
      <c r="E181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1" s="8" t="str">
        <f ca="1">IFERROR(__xludf.DUMMYFUNCTION("""COMPUTED_VALUE"""),"EUR")</f>
        <v>EUR</v>
      </c>
      <c r="G181" s="8">
        <f ca="1">IFERROR(__xludf.DUMMYFUNCTION("""COMPUTED_VALUE"""),48.43)</f>
        <v>48.43</v>
      </c>
      <c r="H181" s="8">
        <f ca="1">IFERROR(__xludf.DUMMYFUNCTION("""COMPUTED_VALUE"""),581.16)</f>
        <v>581.16</v>
      </c>
    </row>
    <row r="182" spans="1:8">
      <c r="A182" s="8" t="str">
        <f ca="1">IFERROR(__xludf.DUMMYFUNCTION("""COMPUTED_VALUE"""),"AS-USR-SUPPORT-OP")</f>
        <v>AS-USR-SUPPORT-OP</v>
      </c>
      <c r="B182" s="8" t="str">
        <f ca="1">IFERROR(__xludf.DUMMYFUNCTION("""COMPUTED_VALUE"""),"Custom Plan AS-USR-SUPPORT-OP")</f>
        <v>Custom Plan AS-USR-SUPPORT-OP</v>
      </c>
      <c r="C182" s="9" t="str">
        <f ca="1">IFERROR(__xludf.DUMMYFUNCTION("""COMPUTED_VALUE"""),"Support User License")</f>
        <v>Support User License</v>
      </c>
      <c r="D182" s="8" t="str">
        <f ca="1">IFERROR(__xludf.DUMMYFUNCTION("""COMPUTED_VALUE"""),"Recurring")</f>
        <v>Recurring</v>
      </c>
      <c r="E182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2" s="8" t="str">
        <f ca="1">IFERROR(__xludf.DUMMYFUNCTION("""COMPUTED_VALUE"""),"EUR")</f>
        <v>EUR</v>
      </c>
      <c r="G182" s="8">
        <f ca="1">IFERROR(__xludf.DUMMYFUNCTION("""COMPUTED_VALUE"""),48.43)</f>
        <v>48.43</v>
      </c>
      <c r="H182" s="8">
        <f ca="1">IFERROR(__xludf.DUMMYFUNCTION("""COMPUTED_VALUE"""),581.16)</f>
        <v>581.16</v>
      </c>
    </row>
    <row r="183" spans="1:8">
      <c r="A183" s="8" t="str">
        <f ca="1">IFERROR(__xludf.DUMMYFUNCTION("""COMPUTED_VALUE"""),"AS-USR-SUPPORT-OP")</f>
        <v>AS-USR-SUPPORT-OP</v>
      </c>
      <c r="B183" s="8" t="str">
        <f ca="1">IFERROR(__xludf.DUMMYFUNCTION("""COMPUTED_VALUE"""),"Annual Plan AS-USR-SUPPORT-OP")</f>
        <v>Annual Plan AS-USR-SUPPORT-OP</v>
      </c>
      <c r="C183" s="9" t="str">
        <f ca="1">IFERROR(__xludf.DUMMYFUNCTION("""COMPUTED_VALUE"""),"Support User License")</f>
        <v>Support User License</v>
      </c>
      <c r="D183" s="8" t="str">
        <f ca="1">IFERROR(__xludf.DUMMYFUNCTION("""COMPUTED_VALUE"""),"Recurring")</f>
        <v>Recurring</v>
      </c>
      <c r="E183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3" s="8" t="str">
        <f ca="1">IFERROR(__xludf.DUMMYFUNCTION("""COMPUTED_VALUE"""),"EUR")</f>
        <v>EUR</v>
      </c>
      <c r="G183" s="8">
        <f ca="1">IFERROR(__xludf.DUMMYFUNCTION("""COMPUTED_VALUE"""),48.43)</f>
        <v>48.43</v>
      </c>
      <c r="H183" s="8">
        <f ca="1">IFERROR(__xludf.DUMMYFUNCTION("""COMPUTED_VALUE"""),581.16)</f>
        <v>581.16</v>
      </c>
    </row>
    <row r="184" spans="1:8">
      <c r="A184" s="8" t="str">
        <f ca="1">IFERROR(__xludf.DUMMYFUNCTION("""COMPUTED_VALUE"""),"AS-USR-SUPPORT-PV")</f>
        <v>AS-USR-SUPPORT-PV</v>
      </c>
      <c r="B184" s="8" t="str">
        <f ca="1">IFERROR(__xludf.DUMMYFUNCTION("""COMPUTED_VALUE"""),"Monthly AS-USR-SUPPORT-PV")</f>
        <v>Monthly AS-USR-SUPPORT-PV</v>
      </c>
      <c r="C184" s="9" t="str">
        <f ca="1">IFERROR(__xludf.DUMMYFUNCTION("""COMPUTED_VALUE"""),"Support User License")</f>
        <v>Support User License</v>
      </c>
      <c r="D184" s="8" t="str">
        <f ca="1">IFERROR(__xludf.DUMMYFUNCTION("""COMPUTED_VALUE"""),"Recurring")</f>
        <v>Recurring</v>
      </c>
      <c r="E184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4" s="8" t="str">
        <f ca="1">IFERROR(__xludf.DUMMYFUNCTION("""COMPUTED_VALUE"""),"EUR")</f>
        <v>EUR</v>
      </c>
      <c r="G184" s="8">
        <f ca="1">IFERROR(__xludf.DUMMYFUNCTION("""COMPUTED_VALUE"""),29.06)</f>
        <v>29.06</v>
      </c>
      <c r="H184" s="8">
        <f ca="1">IFERROR(__xludf.DUMMYFUNCTION("""COMPUTED_VALUE"""),348.72)</f>
        <v>348.72</v>
      </c>
    </row>
    <row r="185" spans="1:8">
      <c r="A185" s="8" t="str">
        <f ca="1">IFERROR(__xludf.DUMMYFUNCTION("""COMPUTED_VALUE"""),"AS-USR-SUPPORT-PV")</f>
        <v>AS-USR-SUPPORT-PV</v>
      </c>
      <c r="B185" s="8" t="str">
        <f ca="1">IFERROR(__xludf.DUMMYFUNCTION("""COMPUTED_VALUE"""),"Prepaid Plan AS-USR-SUPPORT-PV")</f>
        <v>Prepaid Plan AS-USR-SUPPORT-PV</v>
      </c>
      <c r="C185" s="9" t="str">
        <f ca="1">IFERROR(__xludf.DUMMYFUNCTION("""COMPUTED_VALUE"""),"Support User License")</f>
        <v>Support User License</v>
      </c>
      <c r="D185" s="8" t="str">
        <f ca="1">IFERROR(__xludf.DUMMYFUNCTION("""COMPUTED_VALUE"""),"Recurring")</f>
        <v>Recurring</v>
      </c>
      <c r="E185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5" s="8" t="str">
        <f ca="1">IFERROR(__xludf.DUMMYFUNCTION("""COMPUTED_VALUE"""),"EUR")</f>
        <v>EUR</v>
      </c>
      <c r="G185" s="8">
        <f ca="1">IFERROR(__xludf.DUMMYFUNCTION("""COMPUTED_VALUE"""),24.22)</f>
        <v>24.22</v>
      </c>
      <c r="H185" s="8">
        <f ca="1">IFERROR(__xludf.DUMMYFUNCTION("""COMPUTED_VALUE"""),290.64)</f>
        <v>290.64</v>
      </c>
    </row>
    <row r="186" spans="1:8">
      <c r="A186" s="8" t="str">
        <f ca="1">IFERROR(__xludf.DUMMYFUNCTION("""COMPUTED_VALUE"""),"AS-USR-SUPPORT-PV")</f>
        <v>AS-USR-SUPPORT-PV</v>
      </c>
      <c r="B186" s="8" t="str">
        <f ca="1">IFERROR(__xludf.DUMMYFUNCTION("""COMPUTED_VALUE"""),"Custom Plan AS-USR-SUPPORT-PV")</f>
        <v>Custom Plan AS-USR-SUPPORT-PV</v>
      </c>
      <c r="C186" s="9" t="str">
        <f ca="1">IFERROR(__xludf.DUMMYFUNCTION("""COMPUTED_VALUE"""),"Support User License")</f>
        <v>Support User License</v>
      </c>
      <c r="D186" s="8" t="str">
        <f ca="1">IFERROR(__xludf.DUMMYFUNCTION("""COMPUTED_VALUE"""),"Recurring")</f>
        <v>Recurring</v>
      </c>
      <c r="E18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6" s="8" t="str">
        <f ca="1">IFERROR(__xludf.DUMMYFUNCTION("""COMPUTED_VALUE"""),"EUR")</f>
        <v>EUR</v>
      </c>
      <c r="G186" s="8">
        <f ca="1">IFERROR(__xludf.DUMMYFUNCTION("""COMPUTED_VALUE"""),24.22)</f>
        <v>24.22</v>
      </c>
      <c r="H186" s="8">
        <f ca="1">IFERROR(__xludf.DUMMYFUNCTION("""COMPUTED_VALUE"""),290.64)</f>
        <v>290.64</v>
      </c>
    </row>
    <row r="187" spans="1:8">
      <c r="A187" s="8" t="str">
        <f ca="1">IFERROR(__xludf.DUMMYFUNCTION("""COMPUTED_VALUE"""),"AS-USR-SUPPORT-PV")</f>
        <v>AS-USR-SUPPORT-PV</v>
      </c>
      <c r="B187" s="8" t="str">
        <f ca="1">IFERROR(__xludf.DUMMYFUNCTION("""COMPUTED_VALUE"""),"Annual Plan AS-USR-SUPPORT-PV")</f>
        <v>Annual Plan AS-USR-SUPPORT-PV</v>
      </c>
      <c r="C187" s="9" t="str">
        <f ca="1">IFERROR(__xludf.DUMMYFUNCTION("""COMPUTED_VALUE"""),"Support User License")</f>
        <v>Support User License</v>
      </c>
      <c r="D187" s="8" t="str">
        <f ca="1">IFERROR(__xludf.DUMMYFUNCTION("""COMPUTED_VALUE"""),"Recurring")</f>
        <v>Recurring</v>
      </c>
      <c r="E18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7" s="8" t="str">
        <f ca="1">IFERROR(__xludf.DUMMYFUNCTION("""COMPUTED_VALUE"""),"EUR")</f>
        <v>EUR</v>
      </c>
      <c r="G187" s="8">
        <f ca="1">IFERROR(__xludf.DUMMYFUNCTION("""COMPUTED_VALUE"""),24.22)</f>
        <v>24.22</v>
      </c>
      <c r="H187" s="10">
        <f ca="1">IFERROR(__xludf.DUMMYFUNCTION("""COMPUTED_VALUE"""),290.64)</f>
        <v>290.64</v>
      </c>
    </row>
    <row r="188" spans="1:8">
      <c r="A188" s="8" t="str">
        <f ca="1">IFERROR(__xludf.DUMMYFUNCTION("""COMPUTED_VALUE"""),"BZ-SVC-MCS")</f>
        <v>BZ-SVC-MCS</v>
      </c>
      <c r="B188" s="8" t="str">
        <f ca="1">IFERROR(__xludf.DUMMYFUNCTION("""COMPUTED_VALUE"""),"Annual Plan BZ-SVC-MCS")</f>
        <v>Annual Plan BZ-SVC-MCS</v>
      </c>
      <c r="C188" s="9" t="str">
        <f ca="1">IFERROR(__xludf.DUMMYFUNCTION("""COMPUTED_VALUE"""),"Managed Custom Solutions")</f>
        <v>Managed Custom Solutions</v>
      </c>
      <c r="D188" s="8" t="str">
        <f ca="1">IFERROR(__xludf.DUMMYFUNCTION("""COMPUTED_VALUE"""),"Recurring")</f>
        <v>Recurring</v>
      </c>
      <c r="E188" s="9" t="str">
        <f ca="1">IFERROR(__xludf.DUMMYFUNCTION("""COMPUTED_VALUE"""),"Enhanced Services Managed Custom Solutions")</f>
        <v>Enhanced Services Managed Custom Solutions</v>
      </c>
      <c r="F188" s="8" t="str">
        <f ca="1">IFERROR(__xludf.DUMMYFUNCTION("""COMPUTED_VALUE"""),"EUR")</f>
        <v>EUR</v>
      </c>
      <c r="G188" s="8">
        <f ca="1">IFERROR(__xludf.DUMMYFUNCTION("""COMPUTED_VALUE"""),969)</f>
        <v>969</v>
      </c>
      <c r="H188" s="10">
        <f ca="1">IFERROR(__xludf.DUMMYFUNCTION("""COMPUTED_VALUE"""),11628)</f>
        <v>11628</v>
      </c>
    </row>
    <row r="189" spans="1:8">
      <c r="C189" s="9"/>
      <c r="E189" s="9"/>
    </row>
    <row r="190" spans="1:8">
      <c r="C190" s="9"/>
      <c r="E190" s="9"/>
    </row>
    <row r="191" spans="1:8">
      <c r="C191" s="9"/>
      <c r="E191" s="9"/>
    </row>
    <row r="192" spans="1:8">
      <c r="C192" s="9"/>
      <c r="E192" s="9"/>
    </row>
    <row r="193" spans="3:5">
      <c r="C193" s="9"/>
      <c r="E193" s="9"/>
    </row>
    <row r="194" spans="3:5">
      <c r="C194" s="9"/>
      <c r="E194" s="9"/>
    </row>
    <row r="195" spans="3:5">
      <c r="C195" s="9"/>
      <c r="E195" s="9"/>
    </row>
    <row r="196" spans="3:5">
      <c r="C196" s="9"/>
      <c r="E196" s="9"/>
    </row>
    <row r="197" spans="3:5">
      <c r="C197" s="9"/>
      <c r="E197" s="9"/>
    </row>
    <row r="198" spans="3:5">
      <c r="C198" s="9"/>
      <c r="E198" s="9"/>
    </row>
    <row r="199" spans="3:5">
      <c r="C199" s="9"/>
      <c r="E199" s="9"/>
    </row>
    <row r="200" spans="3:5">
      <c r="C200" s="9"/>
      <c r="E200" s="9"/>
    </row>
    <row r="201" spans="3:5">
      <c r="C201" s="9"/>
      <c r="E201" s="9"/>
    </row>
    <row r="202" spans="3:5">
      <c r="C202" s="9"/>
      <c r="E202" s="9"/>
    </row>
    <row r="203" spans="3:5">
      <c r="C203" s="9"/>
      <c r="E203" s="9"/>
    </row>
    <row r="204" spans="3:5">
      <c r="C204" s="9"/>
      <c r="E204" s="9"/>
    </row>
    <row r="205" spans="3:5">
      <c r="C205" s="9"/>
      <c r="E205" s="9"/>
    </row>
    <row r="206" spans="3:5">
      <c r="C206" s="9"/>
      <c r="E206" s="9"/>
    </row>
    <row r="207" spans="3:5">
      <c r="C207" s="9"/>
      <c r="E207" s="9"/>
    </row>
    <row r="208" spans="3:5">
      <c r="C208" s="9"/>
      <c r="E208" s="9"/>
    </row>
    <row r="209" spans="3:5">
      <c r="C209" s="9"/>
      <c r="E209" s="9"/>
    </row>
    <row r="210" spans="3:5">
      <c r="C210" s="9"/>
      <c r="E210" s="9"/>
    </row>
    <row r="211" spans="3:5">
      <c r="C211" s="9"/>
      <c r="E211" s="9"/>
    </row>
    <row r="212" spans="3:5">
      <c r="C212" s="9"/>
      <c r="E212" s="9"/>
    </row>
    <row r="213" spans="3:5">
      <c r="C213" s="9"/>
      <c r="E213" s="9"/>
    </row>
    <row r="214" spans="3:5">
      <c r="C214" s="9"/>
      <c r="E214" s="9"/>
    </row>
    <row r="215" spans="3:5">
      <c r="C215" s="9"/>
      <c r="E215" s="9"/>
    </row>
    <row r="216" spans="3:5">
      <c r="C216" s="9"/>
      <c r="E216" s="9"/>
    </row>
    <row r="217" spans="3:5">
      <c r="C217" s="9"/>
      <c r="E217" s="9"/>
    </row>
    <row r="218" spans="3:5">
      <c r="C218" s="9"/>
      <c r="E218" s="9"/>
    </row>
    <row r="219" spans="3:5">
      <c r="C219" s="9"/>
      <c r="E219" s="9"/>
    </row>
    <row r="220" spans="3:5">
      <c r="C220" s="9"/>
      <c r="E220" s="9"/>
    </row>
    <row r="221" spans="3:5">
      <c r="C221" s="9"/>
      <c r="E221" s="9"/>
    </row>
    <row r="222" spans="3:5">
      <c r="C222" s="9"/>
      <c r="E222" s="9"/>
    </row>
    <row r="223" spans="3:5">
      <c r="C223" s="9"/>
      <c r="E223" s="9"/>
    </row>
    <row r="224" spans="3:5">
      <c r="C224" s="9"/>
      <c r="E224" s="9"/>
    </row>
    <row r="225" spans="3:5">
      <c r="C225" s="9"/>
      <c r="E225" s="9"/>
    </row>
    <row r="226" spans="3:5">
      <c r="C226" s="9"/>
      <c r="E226" s="9"/>
    </row>
    <row r="227" spans="3:5">
      <c r="C227" s="9"/>
      <c r="E227" s="9"/>
    </row>
    <row r="228" spans="3:5">
      <c r="C228" s="9"/>
      <c r="E228" s="9"/>
    </row>
    <row r="229" spans="3:5">
      <c r="C229" s="9"/>
      <c r="E229" s="9"/>
    </row>
    <row r="230" spans="3:5">
      <c r="C230" s="9"/>
      <c r="E230" s="9"/>
    </row>
    <row r="231" spans="3:5">
      <c r="C231" s="9"/>
      <c r="E231" s="9"/>
    </row>
    <row r="232" spans="3:5">
      <c r="C232" s="9"/>
      <c r="E232" s="9"/>
    </row>
    <row r="233" spans="3:5">
      <c r="C233" s="9"/>
      <c r="E233" s="9"/>
    </row>
    <row r="234" spans="3:5">
      <c r="C234" s="9"/>
      <c r="E234" s="9"/>
    </row>
    <row r="235" spans="3:5">
      <c r="C235" s="9"/>
      <c r="E235" s="9"/>
    </row>
    <row r="236" spans="3:5">
      <c r="C236" s="9"/>
      <c r="E236" s="9"/>
    </row>
    <row r="237" spans="3:5">
      <c r="C237" s="9"/>
      <c r="E237" s="9"/>
    </row>
    <row r="238" spans="3:5">
      <c r="C238" s="9"/>
      <c r="E238" s="9"/>
    </row>
    <row r="239" spans="3:5">
      <c r="C239" s="9"/>
      <c r="E239" s="9"/>
    </row>
    <row r="240" spans="3:5">
      <c r="C240" s="9"/>
      <c r="E240" s="9"/>
    </row>
    <row r="241" spans="3:5">
      <c r="C241" s="9"/>
      <c r="E241" s="9"/>
    </row>
    <row r="242" spans="3:5">
      <c r="C242" s="9"/>
      <c r="E242" s="9"/>
    </row>
    <row r="243" spans="3:5">
      <c r="C243" s="9"/>
      <c r="E243" s="9"/>
    </row>
    <row r="244" spans="3:5">
      <c r="C244" s="9"/>
      <c r="E244" s="9"/>
    </row>
    <row r="245" spans="3:5">
      <c r="C245" s="9"/>
      <c r="E245" s="9"/>
    </row>
    <row r="246" spans="3:5">
      <c r="C246" s="9"/>
      <c r="E246" s="9"/>
    </row>
    <row r="247" spans="3:5">
      <c r="C247" s="9"/>
      <c r="E247" s="9"/>
    </row>
    <row r="248" spans="3:5">
      <c r="C248" s="9"/>
      <c r="E248" s="9"/>
    </row>
    <row r="249" spans="3:5">
      <c r="C249" s="9"/>
      <c r="E249" s="9"/>
    </row>
    <row r="250" spans="3:5">
      <c r="C250" s="9"/>
      <c r="E250" s="9"/>
    </row>
    <row r="251" spans="3:5">
      <c r="C251" s="9"/>
      <c r="E251" s="9"/>
    </row>
    <row r="252" spans="3:5">
      <c r="C252" s="9"/>
      <c r="E252" s="9"/>
    </row>
    <row r="253" spans="3:5">
      <c r="C253" s="9"/>
      <c r="E253" s="9"/>
    </row>
    <row r="254" spans="3:5">
      <c r="C254" s="9"/>
      <c r="E254" s="9"/>
    </row>
    <row r="255" spans="3:5">
      <c r="C255" s="9"/>
      <c r="E255" s="9"/>
    </row>
    <row r="256" spans="3:5">
      <c r="C256" s="9"/>
      <c r="E256" s="9"/>
    </row>
    <row r="257" spans="3:5">
      <c r="C257" s="9"/>
      <c r="E257" s="9"/>
    </row>
    <row r="258" spans="3:5">
      <c r="C258" s="9"/>
      <c r="E258" s="9"/>
    </row>
    <row r="259" spans="3:5">
      <c r="C259" s="9"/>
      <c r="E259" s="9"/>
    </row>
    <row r="260" spans="3:5">
      <c r="C260" s="9"/>
      <c r="E260" s="9"/>
    </row>
    <row r="261" spans="3:5">
      <c r="C261" s="9"/>
      <c r="E261" s="9"/>
    </row>
    <row r="262" spans="3:5">
      <c r="C262" s="9"/>
      <c r="E262" s="9"/>
    </row>
    <row r="263" spans="3:5">
      <c r="C263" s="9"/>
      <c r="E263" s="9"/>
    </row>
    <row r="264" spans="3:5">
      <c r="C264" s="9"/>
      <c r="E264" s="9"/>
    </row>
    <row r="265" spans="3:5">
      <c r="C265" s="9"/>
      <c r="E265" s="9"/>
    </row>
    <row r="266" spans="3:5">
      <c r="C266" s="9"/>
      <c r="E266" s="9"/>
    </row>
    <row r="267" spans="3:5">
      <c r="C267" s="9"/>
      <c r="E267" s="9"/>
    </row>
    <row r="268" spans="3:5">
      <c r="C268" s="9"/>
      <c r="E268" s="9"/>
    </row>
    <row r="269" spans="3:5">
      <c r="C269" s="9"/>
      <c r="E269" s="9"/>
    </row>
    <row r="270" spans="3:5">
      <c r="C270" s="9"/>
      <c r="E270" s="9"/>
    </row>
    <row r="271" spans="3:5">
      <c r="C271" s="9"/>
      <c r="E271" s="9"/>
    </row>
    <row r="272" spans="3:5">
      <c r="C272" s="9"/>
      <c r="E272" s="9"/>
    </row>
    <row r="273" spans="3:5">
      <c r="C273" s="9"/>
      <c r="E273" s="9"/>
    </row>
    <row r="274" spans="3:5">
      <c r="C274" s="9"/>
      <c r="E274" s="9"/>
    </row>
    <row r="275" spans="3:5">
      <c r="C275" s="9"/>
      <c r="E275" s="9"/>
    </row>
    <row r="276" spans="3:5">
      <c r="C276" s="9"/>
      <c r="E276" s="9"/>
    </row>
    <row r="277" spans="3:5">
      <c r="C277" s="9"/>
      <c r="E277" s="9"/>
    </row>
    <row r="278" spans="3:5">
      <c r="C278" s="9"/>
      <c r="E278" s="9"/>
    </row>
    <row r="279" spans="3:5">
      <c r="C279" s="9"/>
      <c r="E279" s="9"/>
    </row>
    <row r="280" spans="3:5">
      <c r="C280" s="9"/>
      <c r="E280" s="9"/>
    </row>
    <row r="281" spans="3:5">
      <c r="C281" s="9"/>
      <c r="E281" s="9"/>
    </row>
    <row r="282" spans="3:5">
      <c r="C282" s="9"/>
      <c r="E282" s="9"/>
    </row>
    <row r="283" spans="3:5">
      <c r="C283" s="9"/>
      <c r="E283" s="9"/>
    </row>
    <row r="284" spans="3:5">
      <c r="C284" s="9"/>
      <c r="E284" s="9"/>
    </row>
    <row r="285" spans="3:5">
      <c r="C285" s="9"/>
      <c r="E285" s="9"/>
    </row>
    <row r="286" spans="3:5">
      <c r="C286" s="9"/>
      <c r="E286" s="9"/>
    </row>
    <row r="287" spans="3:5">
      <c r="C287" s="9"/>
      <c r="E287" s="9"/>
    </row>
    <row r="288" spans="3:5">
      <c r="C288" s="9"/>
      <c r="E288" s="9"/>
    </row>
    <row r="289" spans="3:5">
      <c r="C289" s="9"/>
      <c r="E289" s="9"/>
    </row>
    <row r="290" spans="3:5">
      <c r="C290" s="9"/>
      <c r="E290" s="9"/>
    </row>
    <row r="291" spans="3:5">
      <c r="C291" s="9"/>
      <c r="E291" s="9"/>
    </row>
    <row r="292" spans="3:5">
      <c r="C292" s="9"/>
      <c r="E292" s="9"/>
    </row>
    <row r="293" spans="3:5">
      <c r="C293" s="9"/>
      <c r="E293" s="9"/>
    </row>
    <row r="294" spans="3:5">
      <c r="C294" s="9"/>
      <c r="E294" s="9"/>
    </row>
    <row r="295" spans="3:5">
      <c r="C295" s="9"/>
      <c r="E295" s="9"/>
    </row>
    <row r="296" spans="3:5">
      <c r="C296" s="9"/>
      <c r="E296" s="9"/>
    </row>
    <row r="297" spans="3:5">
      <c r="C297" s="9"/>
      <c r="E297" s="9"/>
    </row>
    <row r="298" spans="3:5">
      <c r="C298" s="9"/>
      <c r="E298" s="9"/>
    </row>
    <row r="299" spans="3:5">
      <c r="C299" s="9"/>
      <c r="E299" s="9"/>
    </row>
    <row r="300" spans="3:5">
      <c r="C300" s="9"/>
      <c r="E300" s="9"/>
    </row>
    <row r="301" spans="3:5">
      <c r="C301" s="9"/>
      <c r="E301" s="9"/>
    </row>
    <row r="302" spans="3:5">
      <c r="C302" s="9"/>
      <c r="E302" s="9"/>
    </row>
    <row r="303" spans="3:5">
      <c r="C303" s="9"/>
      <c r="E303" s="9"/>
    </row>
    <row r="304" spans="3:5">
      <c r="C304" s="9"/>
      <c r="E304" s="9"/>
    </row>
    <row r="305" spans="3:5">
      <c r="C305" s="9"/>
      <c r="E305" s="9"/>
    </row>
    <row r="306" spans="3:5">
      <c r="C306" s="9"/>
      <c r="E306" s="9"/>
    </row>
    <row r="307" spans="3:5">
      <c r="C307" s="9"/>
      <c r="E307" s="9"/>
    </row>
    <row r="308" spans="3:5">
      <c r="C308" s="9"/>
      <c r="E308" s="9"/>
    </row>
    <row r="309" spans="3:5">
      <c r="C309" s="9"/>
      <c r="E309" s="9"/>
    </row>
    <row r="310" spans="3:5">
      <c r="C310" s="9"/>
      <c r="E310" s="9"/>
    </row>
    <row r="311" spans="3:5">
      <c r="C311" s="9"/>
      <c r="E311" s="9"/>
    </row>
    <row r="312" spans="3:5">
      <c r="C312" s="9"/>
      <c r="E312" s="9"/>
    </row>
    <row r="313" spans="3:5">
      <c r="C313" s="9"/>
      <c r="E313" s="9"/>
    </row>
    <row r="314" spans="3:5">
      <c r="C314" s="9"/>
      <c r="E314" s="9"/>
    </row>
    <row r="315" spans="3:5">
      <c r="C315" s="9"/>
      <c r="E315" s="9"/>
    </row>
    <row r="316" spans="3:5">
      <c r="C316" s="9"/>
      <c r="E316" s="9"/>
    </row>
    <row r="317" spans="3:5">
      <c r="C317" s="9"/>
      <c r="E317" s="9"/>
    </row>
    <row r="318" spans="3:5">
      <c r="C318" s="9"/>
      <c r="E318" s="9"/>
    </row>
    <row r="319" spans="3:5">
      <c r="C319" s="9"/>
      <c r="E319" s="9"/>
    </row>
    <row r="320" spans="3:5">
      <c r="C320" s="9"/>
      <c r="E320" s="9"/>
    </row>
    <row r="321" spans="3:5">
      <c r="C321" s="9"/>
      <c r="E321" s="9"/>
    </row>
    <row r="322" spans="3:5">
      <c r="C322" s="9"/>
      <c r="E322" s="9"/>
    </row>
    <row r="323" spans="3:5">
      <c r="C323" s="9"/>
      <c r="E323" s="9"/>
    </row>
    <row r="324" spans="3:5">
      <c r="C324" s="9"/>
      <c r="E324" s="9"/>
    </row>
    <row r="325" spans="3:5">
      <c r="C325" s="9"/>
      <c r="E325" s="9"/>
    </row>
    <row r="326" spans="3:5">
      <c r="C326" s="9"/>
      <c r="E326" s="9"/>
    </row>
    <row r="327" spans="3:5">
      <c r="C327" s="9"/>
      <c r="E327" s="9"/>
    </row>
    <row r="328" spans="3:5">
      <c r="C328" s="9"/>
      <c r="E328" s="9"/>
    </row>
    <row r="329" spans="3:5">
      <c r="C329" s="9"/>
      <c r="E329" s="9"/>
    </row>
    <row r="330" spans="3:5">
      <c r="C330" s="9"/>
      <c r="E330" s="9"/>
    </row>
    <row r="331" spans="3:5">
      <c r="C331" s="9"/>
      <c r="E331" s="9"/>
    </row>
    <row r="332" spans="3:5">
      <c r="C332" s="9"/>
      <c r="E332" s="9"/>
    </row>
    <row r="333" spans="3:5">
      <c r="C333" s="9"/>
      <c r="E333" s="9"/>
    </row>
    <row r="334" spans="3:5">
      <c r="C334" s="9"/>
      <c r="E334" s="9"/>
    </row>
    <row r="335" spans="3:5">
      <c r="C335" s="9"/>
      <c r="E335" s="9"/>
    </row>
    <row r="336" spans="3:5">
      <c r="C336" s="9"/>
      <c r="E336" s="9"/>
    </row>
    <row r="337" spans="3:5">
      <c r="C337" s="9"/>
      <c r="E337" s="9"/>
    </row>
    <row r="338" spans="3:5">
      <c r="C338" s="9"/>
      <c r="E338" s="9"/>
    </row>
    <row r="339" spans="3:5">
      <c r="C339" s="9"/>
      <c r="E339" s="9"/>
    </row>
    <row r="340" spans="3:5">
      <c r="C340" s="9"/>
      <c r="E340" s="9"/>
    </row>
    <row r="341" spans="3:5">
      <c r="C341" s="9"/>
      <c r="E341" s="9"/>
    </row>
    <row r="342" spans="3:5">
      <c r="C342" s="9"/>
      <c r="E342" s="9"/>
    </row>
    <row r="343" spans="3:5">
      <c r="C343" s="9"/>
      <c r="E343" s="9"/>
    </row>
    <row r="344" spans="3:5">
      <c r="C344" s="9"/>
      <c r="E344" s="9"/>
    </row>
    <row r="345" spans="3:5">
      <c r="C345" s="9"/>
      <c r="E345" s="9"/>
    </row>
    <row r="346" spans="3:5">
      <c r="C346" s="9"/>
      <c r="E346" s="9"/>
    </row>
    <row r="347" spans="3:5">
      <c r="C347" s="9"/>
      <c r="E347" s="9"/>
    </row>
    <row r="348" spans="3:5">
      <c r="C348" s="9"/>
      <c r="E348" s="9"/>
    </row>
    <row r="349" spans="3:5">
      <c r="C349" s="9"/>
      <c r="E349" s="9"/>
    </row>
    <row r="350" spans="3:5">
      <c r="C350" s="9"/>
      <c r="E350" s="9"/>
    </row>
    <row r="351" spans="3:5">
      <c r="C351" s="9"/>
      <c r="E351" s="9"/>
    </row>
    <row r="352" spans="3:5">
      <c r="C352" s="9"/>
      <c r="E352" s="9"/>
    </row>
    <row r="353" spans="3:5">
      <c r="C353" s="9"/>
      <c r="E353" s="9"/>
    </row>
    <row r="354" spans="3:5">
      <c r="C354" s="9"/>
      <c r="E354" s="9"/>
    </row>
    <row r="355" spans="3:5">
      <c r="C355" s="9"/>
      <c r="E355" s="9"/>
    </row>
    <row r="356" spans="3:5">
      <c r="C356" s="9"/>
      <c r="E356" s="9"/>
    </row>
    <row r="357" spans="3:5">
      <c r="C357" s="9"/>
      <c r="E357" s="9"/>
    </row>
    <row r="358" spans="3:5">
      <c r="C358" s="9"/>
      <c r="E358" s="9"/>
    </row>
    <row r="359" spans="3:5">
      <c r="C359" s="9"/>
      <c r="E359" s="9"/>
    </row>
    <row r="360" spans="3:5">
      <c r="C360" s="9"/>
      <c r="E360" s="9"/>
    </row>
    <row r="361" spans="3:5">
      <c r="C361" s="9"/>
      <c r="E361" s="9"/>
    </row>
    <row r="362" spans="3:5">
      <c r="C362" s="9"/>
      <c r="E362" s="9"/>
    </row>
    <row r="363" spans="3:5">
      <c r="C363" s="9"/>
      <c r="E363" s="9"/>
    </row>
    <row r="364" spans="3:5">
      <c r="C364" s="9"/>
      <c r="E364" s="9"/>
    </row>
    <row r="365" spans="3:5">
      <c r="C365" s="9"/>
      <c r="E365" s="9"/>
    </row>
    <row r="366" spans="3:5">
      <c r="C366" s="9"/>
      <c r="E366" s="9"/>
    </row>
    <row r="367" spans="3:5">
      <c r="C367" s="9"/>
      <c r="E367" s="9"/>
    </row>
    <row r="368" spans="3:5">
      <c r="C368" s="9"/>
      <c r="E368" s="9"/>
    </row>
    <row r="369" spans="3:5">
      <c r="C369" s="9"/>
      <c r="E369" s="9"/>
    </row>
    <row r="370" spans="3:5">
      <c r="C370" s="9"/>
      <c r="E370" s="9"/>
    </row>
    <row r="371" spans="3:5">
      <c r="C371" s="9"/>
      <c r="E371" s="9"/>
    </row>
    <row r="372" spans="3:5">
      <c r="C372" s="9"/>
      <c r="E372" s="9"/>
    </row>
    <row r="373" spans="3:5">
      <c r="C373" s="9"/>
      <c r="E373" s="9"/>
    </row>
    <row r="374" spans="3:5">
      <c r="C374" s="9"/>
      <c r="E374" s="9"/>
    </row>
    <row r="375" spans="3:5">
      <c r="C375" s="9"/>
      <c r="E375" s="9"/>
    </row>
    <row r="376" spans="3:5">
      <c r="C376" s="9"/>
      <c r="E376" s="9"/>
    </row>
    <row r="377" spans="3:5">
      <c r="C377" s="9"/>
      <c r="E377" s="9"/>
    </row>
    <row r="378" spans="3:5">
      <c r="C378" s="9"/>
      <c r="E378" s="9"/>
    </row>
    <row r="379" spans="3:5">
      <c r="C379" s="9"/>
      <c r="E379" s="9"/>
    </row>
    <row r="380" spans="3:5">
      <c r="C380" s="9"/>
      <c r="E380" s="9"/>
    </row>
    <row r="381" spans="3:5">
      <c r="C381" s="9"/>
      <c r="E381" s="9"/>
    </row>
    <row r="382" spans="3:5">
      <c r="C382" s="9"/>
      <c r="E382" s="9"/>
    </row>
    <row r="383" spans="3:5">
      <c r="C383" s="9"/>
      <c r="E383" s="9"/>
    </row>
    <row r="384" spans="3:5">
      <c r="C384" s="9"/>
      <c r="E384" s="9"/>
    </row>
    <row r="385" spans="3:5">
      <c r="C385" s="9"/>
      <c r="E385" s="9"/>
    </row>
    <row r="386" spans="3:5">
      <c r="C386" s="9"/>
      <c r="E386" s="9"/>
    </row>
    <row r="387" spans="3:5">
      <c r="C387" s="9"/>
      <c r="E387" s="9"/>
    </row>
    <row r="388" spans="3:5">
      <c r="C388" s="9"/>
      <c r="E388" s="9"/>
    </row>
    <row r="389" spans="3:5">
      <c r="C389" s="9"/>
      <c r="E389" s="9"/>
    </row>
    <row r="390" spans="3:5">
      <c r="C390" s="9"/>
      <c r="E390" s="9"/>
    </row>
    <row r="391" spans="3:5">
      <c r="C391" s="9"/>
      <c r="E391" s="9"/>
    </row>
    <row r="392" spans="3:5">
      <c r="C392" s="9"/>
      <c r="E392" s="9"/>
    </row>
    <row r="393" spans="3:5">
      <c r="C393" s="9"/>
      <c r="E393" s="9"/>
    </row>
    <row r="394" spans="3:5">
      <c r="C394" s="9"/>
      <c r="E394" s="9"/>
    </row>
    <row r="395" spans="3:5">
      <c r="C395" s="9"/>
      <c r="E395" s="9"/>
    </row>
    <row r="396" spans="3:5">
      <c r="C396" s="9"/>
      <c r="E396" s="9"/>
    </row>
    <row r="397" spans="3:5">
      <c r="C397" s="9"/>
      <c r="E397" s="9"/>
    </row>
    <row r="398" spans="3:5">
      <c r="C398" s="9"/>
      <c r="E398" s="9"/>
    </row>
    <row r="399" spans="3:5">
      <c r="C399" s="9"/>
      <c r="E399" s="9"/>
    </row>
    <row r="400" spans="3:5">
      <c r="C400" s="9"/>
      <c r="E400" s="9"/>
    </row>
    <row r="401" spans="3:5">
      <c r="C401" s="9"/>
      <c r="E401" s="9"/>
    </row>
    <row r="402" spans="3:5">
      <c r="C402" s="9"/>
      <c r="E402" s="9"/>
    </row>
    <row r="403" spans="3:5">
      <c r="C403" s="9"/>
      <c r="E403" s="9"/>
    </row>
    <row r="404" spans="3:5">
      <c r="C404" s="9"/>
      <c r="E404" s="9"/>
    </row>
    <row r="405" spans="3:5">
      <c r="C405" s="9"/>
      <c r="E405" s="9"/>
    </row>
    <row r="406" spans="3:5">
      <c r="C406" s="9"/>
      <c r="E406" s="9"/>
    </row>
    <row r="407" spans="3:5">
      <c r="C407" s="9"/>
      <c r="E407" s="9"/>
    </row>
    <row r="408" spans="3:5">
      <c r="C408" s="9"/>
      <c r="E408" s="9"/>
    </row>
    <row r="409" spans="3:5">
      <c r="C409" s="9"/>
      <c r="E409" s="9"/>
    </row>
    <row r="410" spans="3:5">
      <c r="C410" s="9"/>
      <c r="E410" s="9"/>
    </row>
    <row r="411" spans="3:5">
      <c r="C411" s="9"/>
      <c r="E411" s="9"/>
    </row>
    <row r="412" spans="3:5">
      <c r="C412" s="9"/>
      <c r="E412" s="9"/>
    </row>
    <row r="413" spans="3:5">
      <c r="C413" s="9"/>
      <c r="E413" s="9"/>
    </row>
    <row r="414" spans="3:5">
      <c r="C414" s="9"/>
      <c r="E414" s="9"/>
    </row>
    <row r="415" spans="3:5">
      <c r="C415" s="9"/>
      <c r="E415" s="9"/>
    </row>
    <row r="416" spans="3:5">
      <c r="C416" s="9"/>
      <c r="E416" s="9"/>
    </row>
    <row r="417" spans="3:5">
      <c r="C417" s="9"/>
      <c r="E417" s="9"/>
    </row>
    <row r="418" spans="3:5">
      <c r="C418" s="9"/>
      <c r="E418" s="9"/>
    </row>
    <row r="419" spans="3:5">
      <c r="C419" s="9"/>
      <c r="E419" s="9"/>
    </row>
    <row r="420" spans="3:5">
      <c r="C420" s="9"/>
      <c r="E420" s="9"/>
    </row>
    <row r="421" spans="3:5">
      <c r="C421" s="9"/>
      <c r="E421" s="9"/>
    </row>
    <row r="422" spans="3:5">
      <c r="C422" s="9"/>
      <c r="E422" s="9"/>
    </row>
    <row r="423" spans="3:5">
      <c r="C423" s="9"/>
      <c r="E423" s="9"/>
    </row>
    <row r="424" spans="3:5">
      <c r="C424" s="9"/>
      <c r="E424" s="9"/>
    </row>
    <row r="425" spans="3:5">
      <c r="C425" s="9"/>
      <c r="E425" s="9"/>
    </row>
    <row r="426" spans="3:5">
      <c r="C426" s="9"/>
      <c r="E426" s="9"/>
    </row>
    <row r="427" spans="3:5">
      <c r="C427" s="9"/>
      <c r="E427" s="9"/>
    </row>
    <row r="428" spans="3:5">
      <c r="C428" s="9"/>
      <c r="E428" s="9"/>
    </row>
    <row r="429" spans="3:5">
      <c r="C429" s="9"/>
      <c r="E429" s="9"/>
    </row>
    <row r="430" spans="3:5">
      <c r="C430" s="9"/>
      <c r="E430" s="9"/>
    </row>
    <row r="431" spans="3:5">
      <c r="C431" s="9"/>
      <c r="E431" s="9"/>
    </row>
    <row r="432" spans="3:5">
      <c r="C432" s="9"/>
      <c r="E432" s="9"/>
    </row>
    <row r="433" spans="3:5">
      <c r="C433" s="9"/>
      <c r="E433" s="9"/>
    </row>
    <row r="434" spans="3:5">
      <c r="C434" s="9"/>
      <c r="E434" s="9"/>
    </row>
    <row r="435" spans="3:5">
      <c r="C435" s="9"/>
      <c r="E435" s="9"/>
    </row>
    <row r="436" spans="3:5">
      <c r="C436" s="9"/>
      <c r="E436" s="9"/>
    </row>
    <row r="437" spans="3:5">
      <c r="C437" s="9"/>
      <c r="E437" s="9"/>
    </row>
    <row r="438" spans="3:5">
      <c r="C438" s="9"/>
      <c r="E438" s="9"/>
    </row>
    <row r="439" spans="3:5">
      <c r="C439" s="9"/>
      <c r="E439" s="9"/>
    </row>
    <row r="440" spans="3:5">
      <c r="C440" s="9"/>
      <c r="E440" s="9"/>
    </row>
    <row r="441" spans="3:5">
      <c r="C441" s="9"/>
      <c r="E441" s="9"/>
    </row>
    <row r="442" spans="3:5">
      <c r="C442" s="9"/>
      <c r="E442" s="9"/>
    </row>
    <row r="443" spans="3:5">
      <c r="C443" s="9"/>
      <c r="E443" s="9"/>
    </row>
    <row r="444" spans="3:5">
      <c r="C444" s="9"/>
      <c r="E444" s="9"/>
    </row>
    <row r="445" spans="3:5">
      <c r="C445" s="9"/>
      <c r="E445" s="9"/>
    </row>
    <row r="446" spans="3:5">
      <c r="C446" s="9"/>
      <c r="E446" s="9"/>
    </row>
    <row r="447" spans="3:5">
      <c r="C447" s="9"/>
      <c r="E447" s="9"/>
    </row>
    <row r="448" spans="3:5">
      <c r="C448" s="9"/>
      <c r="E448" s="9"/>
    </row>
    <row r="449" spans="3:5">
      <c r="C449" s="9"/>
      <c r="E449" s="9"/>
    </row>
    <row r="450" spans="3:5">
      <c r="C450" s="9"/>
      <c r="E450" s="9"/>
    </row>
    <row r="451" spans="3:5">
      <c r="C451" s="9"/>
      <c r="E451" s="9"/>
    </row>
    <row r="452" spans="3:5">
      <c r="C452" s="9"/>
      <c r="E452" s="9"/>
    </row>
    <row r="453" spans="3:5">
      <c r="C453" s="9"/>
      <c r="E453" s="9"/>
    </row>
    <row r="454" spans="3:5">
      <c r="C454" s="9"/>
      <c r="E454" s="9"/>
    </row>
    <row r="455" spans="3:5">
      <c r="C455" s="9"/>
      <c r="E455" s="9"/>
    </row>
    <row r="456" spans="3:5">
      <c r="C456" s="9"/>
      <c r="E456" s="9"/>
    </row>
    <row r="457" spans="3:5">
      <c r="C457" s="9"/>
      <c r="E457" s="9"/>
    </row>
    <row r="458" spans="3:5">
      <c r="C458" s="9"/>
      <c r="E458" s="9"/>
    </row>
    <row r="459" spans="3:5">
      <c r="C459" s="9"/>
      <c r="E459" s="9"/>
    </row>
    <row r="460" spans="3:5">
      <c r="C460" s="9"/>
      <c r="E460" s="9"/>
    </row>
    <row r="461" spans="3:5">
      <c r="C461" s="9"/>
      <c r="E461" s="9"/>
    </row>
    <row r="462" spans="3:5">
      <c r="C462" s="9"/>
      <c r="E462" s="9"/>
    </row>
    <row r="463" spans="3:5">
      <c r="C463" s="9"/>
      <c r="E463" s="9"/>
    </row>
    <row r="464" spans="3:5">
      <c r="C464" s="9"/>
      <c r="E464" s="9"/>
    </row>
    <row r="465" spans="3:5">
      <c r="C465" s="9"/>
      <c r="E465" s="9"/>
    </row>
    <row r="466" spans="3:5">
      <c r="C466" s="9"/>
      <c r="E466" s="9"/>
    </row>
    <row r="467" spans="3:5">
      <c r="C467" s="9"/>
      <c r="E467" s="9"/>
    </row>
    <row r="468" spans="3:5">
      <c r="C468" s="9"/>
      <c r="E468" s="9"/>
    </row>
    <row r="469" spans="3:5">
      <c r="C469" s="9"/>
      <c r="E469" s="9"/>
    </row>
    <row r="470" spans="3:5">
      <c r="C470" s="9"/>
      <c r="E470" s="9"/>
    </row>
    <row r="471" spans="3:5">
      <c r="C471" s="9"/>
      <c r="E471" s="9"/>
    </row>
    <row r="472" spans="3:5">
      <c r="C472" s="9"/>
      <c r="E472" s="9"/>
    </row>
    <row r="473" spans="3:5">
      <c r="C473" s="9"/>
      <c r="E473" s="9"/>
    </row>
    <row r="474" spans="3:5">
      <c r="C474" s="9"/>
      <c r="E474" s="9"/>
    </row>
    <row r="475" spans="3:5">
      <c r="C475" s="9"/>
      <c r="E475" s="9"/>
    </row>
    <row r="476" spans="3:5">
      <c r="C476" s="9"/>
      <c r="E476" s="9"/>
    </row>
    <row r="477" spans="3:5">
      <c r="C477" s="9"/>
      <c r="E477" s="9"/>
    </row>
    <row r="478" spans="3:5">
      <c r="C478" s="9"/>
      <c r="E478" s="9"/>
    </row>
    <row r="479" spans="3:5">
      <c r="C479" s="9"/>
      <c r="E479" s="9"/>
    </row>
    <row r="480" spans="3:5">
      <c r="C480" s="9"/>
      <c r="E480" s="9"/>
    </row>
    <row r="481" spans="3:5">
      <c r="C481" s="9"/>
      <c r="E481" s="9"/>
    </row>
    <row r="482" spans="3:5">
      <c r="C482" s="9"/>
      <c r="E482" s="9"/>
    </row>
    <row r="483" spans="3:5">
      <c r="C483" s="9"/>
      <c r="E483" s="9"/>
    </row>
    <row r="484" spans="3:5">
      <c r="C484" s="9"/>
      <c r="E484" s="9"/>
    </row>
    <row r="485" spans="3:5">
      <c r="C485" s="9"/>
      <c r="E485" s="9"/>
    </row>
    <row r="486" spans="3:5">
      <c r="C486" s="9"/>
      <c r="E486" s="9"/>
    </row>
    <row r="487" spans="3:5">
      <c r="C487" s="9"/>
      <c r="E487" s="9"/>
    </row>
    <row r="488" spans="3:5">
      <c r="C488" s="9"/>
      <c r="E488" s="9"/>
    </row>
    <row r="489" spans="3:5">
      <c r="C489" s="9"/>
      <c r="E489" s="9"/>
    </row>
    <row r="490" spans="3:5">
      <c r="C490" s="9"/>
      <c r="E490" s="9"/>
    </row>
    <row r="491" spans="3:5">
      <c r="C491" s="9"/>
      <c r="E491" s="9"/>
    </row>
    <row r="492" spans="3:5">
      <c r="C492" s="9"/>
      <c r="E492" s="9"/>
    </row>
    <row r="493" spans="3:5">
      <c r="C493" s="9"/>
      <c r="E493" s="9"/>
    </row>
    <row r="494" spans="3:5">
      <c r="C494" s="9"/>
      <c r="E494" s="9"/>
    </row>
    <row r="495" spans="3:5">
      <c r="C495" s="9"/>
      <c r="E495" s="9"/>
    </row>
    <row r="496" spans="3:5">
      <c r="C496" s="9"/>
      <c r="E496" s="9"/>
    </row>
    <row r="497" spans="3:5">
      <c r="C497" s="9"/>
      <c r="E497" s="9"/>
    </row>
    <row r="498" spans="3:5">
      <c r="C498" s="9"/>
      <c r="E498" s="9"/>
    </row>
    <row r="499" spans="3:5">
      <c r="C499" s="9"/>
      <c r="E499" s="9"/>
    </row>
    <row r="500" spans="3:5">
      <c r="C500" s="9"/>
      <c r="E500" s="9"/>
    </row>
    <row r="501" spans="3:5">
      <c r="C501" s="9"/>
      <c r="E501" s="9"/>
    </row>
    <row r="502" spans="3:5">
      <c r="C502" s="9"/>
      <c r="E502" s="9"/>
    </row>
    <row r="503" spans="3:5">
      <c r="C503" s="9"/>
      <c r="E503" s="9"/>
    </row>
    <row r="504" spans="3:5">
      <c r="C504" s="9"/>
      <c r="E504" s="9"/>
    </row>
    <row r="505" spans="3:5">
      <c r="C505" s="9"/>
      <c r="E505" s="9"/>
    </row>
    <row r="506" spans="3:5">
      <c r="C506" s="9"/>
      <c r="E506" s="9"/>
    </row>
    <row r="507" spans="3:5">
      <c r="C507" s="9"/>
      <c r="E507" s="9"/>
    </row>
    <row r="508" spans="3:5">
      <c r="C508" s="9"/>
      <c r="E508" s="9"/>
    </row>
    <row r="509" spans="3:5">
      <c r="C509" s="9"/>
      <c r="E509" s="9"/>
    </row>
    <row r="510" spans="3:5">
      <c r="C510" s="9"/>
      <c r="E510" s="9"/>
    </row>
    <row r="511" spans="3:5">
      <c r="C511" s="9"/>
      <c r="E511" s="9"/>
    </row>
    <row r="512" spans="3:5">
      <c r="C512" s="9"/>
      <c r="E512" s="9"/>
    </row>
    <row r="513" spans="3:5">
      <c r="C513" s="9"/>
      <c r="E513" s="9"/>
    </row>
    <row r="514" spans="3:5">
      <c r="C514" s="9"/>
      <c r="E514" s="9"/>
    </row>
    <row r="515" spans="3:5">
      <c r="C515" s="9"/>
      <c r="E515" s="9"/>
    </row>
    <row r="516" spans="3:5">
      <c r="C516" s="9"/>
      <c r="E516" s="9"/>
    </row>
    <row r="517" spans="3:5">
      <c r="C517" s="9"/>
      <c r="E517" s="9"/>
    </row>
    <row r="518" spans="3:5">
      <c r="C518" s="9"/>
      <c r="E518" s="9"/>
    </row>
    <row r="519" spans="3:5">
      <c r="C519" s="9"/>
      <c r="E519" s="9"/>
    </row>
    <row r="520" spans="3:5">
      <c r="C520" s="9"/>
      <c r="E520" s="9"/>
    </row>
    <row r="521" spans="3:5">
      <c r="C521" s="9"/>
      <c r="E521" s="9"/>
    </row>
    <row r="522" spans="3:5">
      <c r="C522" s="9"/>
      <c r="E522" s="9"/>
    </row>
    <row r="523" spans="3:5">
      <c r="C523" s="9"/>
      <c r="E523" s="9"/>
    </row>
    <row r="524" spans="3:5">
      <c r="C524" s="9"/>
      <c r="E524" s="9"/>
    </row>
    <row r="525" spans="3:5">
      <c r="C525" s="9"/>
      <c r="E525" s="9"/>
    </row>
    <row r="526" spans="3:5">
      <c r="C526" s="9"/>
      <c r="E526" s="9"/>
    </row>
    <row r="527" spans="3:5">
      <c r="C527" s="9"/>
      <c r="E527" s="9"/>
    </row>
    <row r="528" spans="3:5">
      <c r="C528" s="9"/>
      <c r="E528" s="9"/>
    </row>
    <row r="529" spans="3:5">
      <c r="C529" s="9"/>
      <c r="E529" s="9"/>
    </row>
    <row r="530" spans="3:5">
      <c r="C530" s="9"/>
      <c r="E530" s="9"/>
    </row>
    <row r="531" spans="3:5">
      <c r="C531" s="9"/>
      <c r="E531" s="9"/>
    </row>
    <row r="532" spans="3:5">
      <c r="C532" s="9"/>
      <c r="E532" s="9"/>
    </row>
    <row r="533" spans="3:5">
      <c r="C533" s="9"/>
      <c r="E533" s="9"/>
    </row>
    <row r="534" spans="3:5">
      <c r="C534" s="9"/>
      <c r="E534" s="9"/>
    </row>
    <row r="535" spans="3:5">
      <c r="C535" s="9"/>
      <c r="E535" s="9"/>
    </row>
    <row r="536" spans="3:5">
      <c r="C536" s="9"/>
      <c r="E536" s="9"/>
    </row>
    <row r="537" spans="3:5">
      <c r="C537" s="9"/>
      <c r="E537" s="9"/>
    </row>
    <row r="538" spans="3:5">
      <c r="C538" s="9"/>
      <c r="E538" s="9"/>
    </row>
    <row r="539" spans="3:5">
      <c r="C539" s="9"/>
      <c r="E539" s="9"/>
    </row>
    <row r="540" spans="3:5">
      <c r="C540" s="9"/>
      <c r="E540" s="9"/>
    </row>
    <row r="541" spans="3:5">
      <c r="C541" s="9"/>
      <c r="E541" s="9"/>
    </row>
    <row r="542" spans="3:5">
      <c r="C542" s="9"/>
      <c r="E542" s="9"/>
    </row>
    <row r="543" spans="3:5">
      <c r="C543" s="9"/>
      <c r="E543" s="9"/>
    </row>
    <row r="544" spans="3:5">
      <c r="C544" s="9"/>
      <c r="E544" s="9"/>
    </row>
    <row r="545" spans="3:5">
      <c r="C545" s="9"/>
      <c r="E545" s="9"/>
    </row>
    <row r="546" spans="3:5">
      <c r="C546" s="9"/>
      <c r="E546" s="9"/>
    </row>
    <row r="547" spans="3:5">
      <c r="C547" s="9"/>
      <c r="E547" s="9"/>
    </row>
    <row r="548" spans="3:5">
      <c r="C548" s="9"/>
      <c r="E548" s="9"/>
    </row>
    <row r="549" spans="3:5">
      <c r="C549" s="9"/>
      <c r="E549" s="9"/>
    </row>
    <row r="550" spans="3:5">
      <c r="C550" s="9"/>
      <c r="E550" s="9"/>
    </row>
    <row r="551" spans="3:5">
      <c r="C551" s="9"/>
      <c r="E551" s="9"/>
    </row>
    <row r="552" spans="3:5">
      <c r="C552" s="9"/>
      <c r="E552" s="9"/>
    </row>
    <row r="553" spans="3:5">
      <c r="C553" s="9"/>
      <c r="E553" s="9"/>
    </row>
    <row r="554" spans="3:5">
      <c r="C554" s="9"/>
      <c r="E554" s="9"/>
    </row>
    <row r="555" spans="3:5">
      <c r="C555" s="9"/>
      <c r="E555" s="9"/>
    </row>
    <row r="556" spans="3:5">
      <c r="C556" s="9"/>
      <c r="E556" s="9"/>
    </row>
    <row r="557" spans="3:5">
      <c r="C557" s="9"/>
      <c r="E557" s="9"/>
    </row>
    <row r="558" spans="3:5">
      <c r="C558" s="9"/>
      <c r="E558" s="9"/>
    </row>
    <row r="559" spans="3:5">
      <c r="C559" s="9"/>
      <c r="E559" s="9"/>
    </row>
    <row r="560" spans="3:5">
      <c r="C560" s="9"/>
      <c r="E560" s="9"/>
    </row>
    <row r="561" spans="3:5">
      <c r="C561" s="9"/>
      <c r="E561" s="9"/>
    </row>
    <row r="562" spans="3:5">
      <c r="C562" s="9"/>
      <c r="E562" s="9"/>
    </row>
    <row r="563" spans="3:5">
      <c r="C563" s="9"/>
      <c r="E563" s="9"/>
    </row>
    <row r="564" spans="3:5">
      <c r="C564" s="9"/>
      <c r="E564" s="9"/>
    </row>
    <row r="565" spans="3:5">
      <c r="C565" s="9"/>
      <c r="E565" s="9"/>
    </row>
    <row r="566" spans="3:5">
      <c r="C566" s="9"/>
      <c r="E566" s="9"/>
    </row>
    <row r="567" spans="3:5">
      <c r="C567" s="9"/>
      <c r="E567" s="9"/>
    </row>
    <row r="568" spans="3:5">
      <c r="C568" s="9"/>
      <c r="E568" s="9"/>
    </row>
    <row r="569" spans="3:5">
      <c r="C569" s="9"/>
      <c r="E569" s="9"/>
    </row>
    <row r="570" spans="3:5">
      <c r="C570" s="9"/>
      <c r="E570" s="9"/>
    </row>
    <row r="571" spans="3:5">
      <c r="C571" s="9"/>
      <c r="E571" s="9"/>
    </row>
    <row r="572" spans="3:5">
      <c r="C572" s="9"/>
      <c r="E572" s="9"/>
    </row>
    <row r="573" spans="3:5">
      <c r="C573" s="9"/>
      <c r="E573" s="9"/>
    </row>
    <row r="574" spans="3:5">
      <c r="C574" s="9"/>
      <c r="E574" s="9"/>
    </row>
    <row r="575" spans="3:5">
      <c r="C575" s="9"/>
      <c r="E575" s="9"/>
    </row>
    <row r="576" spans="3:5">
      <c r="C576" s="9"/>
      <c r="E576" s="9"/>
    </row>
    <row r="577" spans="3:5">
      <c r="C577" s="9"/>
      <c r="E577" s="9"/>
    </row>
    <row r="578" spans="3:5">
      <c r="C578" s="9"/>
      <c r="E578" s="9"/>
    </row>
    <row r="579" spans="3:5">
      <c r="C579" s="9"/>
      <c r="E579" s="9"/>
    </row>
    <row r="580" spans="3:5">
      <c r="C580" s="9"/>
      <c r="E580" s="9"/>
    </row>
    <row r="581" spans="3:5">
      <c r="C581" s="9"/>
      <c r="E581" s="9"/>
    </row>
    <row r="582" spans="3:5">
      <c r="C582" s="9"/>
      <c r="E582" s="9"/>
    </row>
    <row r="583" spans="3:5">
      <c r="C583" s="9"/>
      <c r="E583" s="9"/>
    </row>
    <row r="584" spans="3:5">
      <c r="C584" s="9"/>
      <c r="E584" s="9"/>
    </row>
    <row r="585" spans="3:5">
      <c r="C585" s="9"/>
      <c r="E585" s="9"/>
    </row>
    <row r="586" spans="3:5">
      <c r="C586" s="9"/>
      <c r="E586" s="9"/>
    </row>
    <row r="587" spans="3:5">
      <c r="C587" s="9"/>
      <c r="E587" s="9"/>
    </row>
    <row r="588" spans="3:5">
      <c r="C588" s="9"/>
      <c r="E588" s="9"/>
    </row>
    <row r="589" spans="3:5">
      <c r="C589" s="9"/>
      <c r="E589" s="9"/>
    </row>
    <row r="590" spans="3:5">
      <c r="C590" s="9"/>
      <c r="E590" s="9"/>
    </row>
    <row r="591" spans="3:5">
      <c r="C591" s="9"/>
      <c r="E591" s="9"/>
    </row>
    <row r="592" spans="3:5">
      <c r="C592" s="9"/>
      <c r="E592" s="9"/>
    </row>
    <row r="593" spans="3:5">
      <c r="C593" s="9"/>
      <c r="E593" s="9"/>
    </row>
    <row r="594" spans="3:5">
      <c r="C594" s="9"/>
      <c r="E594" s="9"/>
    </row>
    <row r="595" spans="3:5">
      <c r="C595" s="9"/>
      <c r="E595" s="9"/>
    </row>
    <row r="596" spans="3:5">
      <c r="C596" s="9"/>
      <c r="E596" s="9"/>
    </row>
    <row r="597" spans="3:5">
      <c r="C597" s="9"/>
      <c r="E597" s="9"/>
    </row>
    <row r="598" spans="3:5">
      <c r="C598" s="9"/>
      <c r="E598" s="9"/>
    </row>
    <row r="599" spans="3:5">
      <c r="C599" s="9"/>
      <c r="E599" s="9"/>
    </row>
    <row r="600" spans="3:5">
      <c r="C600" s="9"/>
      <c r="E600" s="9"/>
    </row>
    <row r="601" spans="3:5">
      <c r="C601" s="9"/>
      <c r="E601" s="9"/>
    </row>
    <row r="602" spans="3:5">
      <c r="C602" s="9"/>
      <c r="E602" s="9"/>
    </row>
    <row r="603" spans="3:5">
      <c r="C603" s="9"/>
      <c r="E603" s="9"/>
    </row>
    <row r="604" spans="3:5">
      <c r="C604" s="9"/>
      <c r="E604" s="9"/>
    </row>
    <row r="605" spans="3:5">
      <c r="C605" s="9"/>
      <c r="E605" s="9"/>
    </row>
    <row r="606" spans="3:5">
      <c r="C606" s="9"/>
      <c r="E606" s="9"/>
    </row>
    <row r="607" spans="3:5">
      <c r="C607" s="9"/>
      <c r="E607" s="9"/>
    </row>
    <row r="608" spans="3:5">
      <c r="C608" s="9"/>
      <c r="E608" s="9"/>
    </row>
    <row r="609" spans="3:5">
      <c r="C609" s="9"/>
      <c r="E609" s="9"/>
    </row>
    <row r="610" spans="3:5">
      <c r="C610" s="9"/>
      <c r="E610" s="9"/>
    </row>
    <row r="611" spans="3:5">
      <c r="C611" s="9"/>
      <c r="E611" s="9"/>
    </row>
    <row r="612" spans="3:5">
      <c r="C612" s="9"/>
      <c r="E612" s="9"/>
    </row>
    <row r="613" spans="3:5">
      <c r="C613" s="9"/>
      <c r="E613" s="9"/>
    </row>
    <row r="614" spans="3:5">
      <c r="C614" s="9"/>
      <c r="E614" s="9"/>
    </row>
    <row r="615" spans="3:5">
      <c r="C615" s="9"/>
      <c r="E615" s="9"/>
    </row>
    <row r="616" spans="3:5">
      <c r="C616" s="9"/>
      <c r="E616" s="9"/>
    </row>
    <row r="617" spans="3:5">
      <c r="C617" s="9"/>
      <c r="E617" s="9"/>
    </row>
    <row r="618" spans="3:5">
      <c r="C618" s="9"/>
      <c r="E618" s="9"/>
    </row>
    <row r="619" spans="3:5">
      <c r="C619" s="9"/>
      <c r="E619" s="9"/>
    </row>
    <row r="620" spans="3:5">
      <c r="C620" s="9"/>
      <c r="E620" s="9"/>
    </row>
    <row r="621" spans="3:5">
      <c r="C621" s="9"/>
      <c r="E621" s="9"/>
    </row>
    <row r="622" spans="3:5">
      <c r="C622" s="9"/>
      <c r="E622" s="9"/>
    </row>
    <row r="623" spans="3:5">
      <c r="C623" s="9"/>
      <c r="E623" s="9"/>
    </row>
    <row r="624" spans="3:5">
      <c r="C624" s="9"/>
      <c r="E624" s="9"/>
    </row>
    <row r="625" spans="3:5">
      <c r="C625" s="9"/>
      <c r="E625" s="9"/>
    </row>
    <row r="626" spans="3:5">
      <c r="C626" s="9"/>
      <c r="E626" s="9"/>
    </row>
    <row r="627" spans="3:5">
      <c r="C627" s="9"/>
      <c r="E627" s="9"/>
    </row>
    <row r="628" spans="3:5">
      <c r="C628" s="9"/>
      <c r="E628" s="9"/>
    </row>
    <row r="629" spans="3:5">
      <c r="C629" s="9"/>
      <c r="E629" s="9"/>
    </row>
    <row r="630" spans="3:5">
      <c r="C630" s="9"/>
      <c r="E630" s="9"/>
    </row>
    <row r="631" spans="3:5">
      <c r="C631" s="9"/>
      <c r="E631" s="9"/>
    </row>
    <row r="632" spans="3:5">
      <c r="C632" s="9"/>
      <c r="E632" s="9"/>
    </row>
    <row r="633" spans="3:5">
      <c r="C633" s="9"/>
      <c r="E633" s="9"/>
    </row>
    <row r="634" spans="3:5">
      <c r="C634" s="9"/>
      <c r="E634" s="9"/>
    </row>
    <row r="635" spans="3:5">
      <c r="C635" s="9"/>
      <c r="E635" s="9"/>
    </row>
    <row r="636" spans="3:5">
      <c r="C636" s="9"/>
      <c r="E636" s="9"/>
    </row>
    <row r="637" spans="3:5">
      <c r="C637" s="9"/>
      <c r="E637" s="9"/>
    </row>
    <row r="638" spans="3:5">
      <c r="C638" s="9"/>
      <c r="E638" s="9"/>
    </row>
    <row r="639" spans="3:5">
      <c r="C639" s="9"/>
      <c r="E639" s="9"/>
    </row>
    <row r="640" spans="3:5">
      <c r="C640" s="9"/>
      <c r="E640" s="9"/>
    </row>
    <row r="641" spans="3:5">
      <c r="C641" s="9"/>
      <c r="E641" s="9"/>
    </row>
    <row r="642" spans="3:5">
      <c r="C642" s="9"/>
      <c r="E642" s="9"/>
    </row>
    <row r="643" spans="3:5">
      <c r="C643" s="9"/>
      <c r="E643" s="9"/>
    </row>
    <row r="644" spans="3:5">
      <c r="C644" s="9"/>
      <c r="E644" s="9"/>
    </row>
    <row r="645" spans="3:5">
      <c r="C645" s="9"/>
      <c r="E645" s="9"/>
    </row>
    <row r="646" spans="3:5">
      <c r="C646" s="9"/>
      <c r="E646" s="9"/>
    </row>
    <row r="647" spans="3:5">
      <c r="C647" s="9"/>
      <c r="E647" s="9"/>
    </row>
    <row r="648" spans="3:5">
      <c r="C648" s="9"/>
      <c r="E648" s="9"/>
    </row>
    <row r="649" spans="3:5">
      <c r="C649" s="9"/>
      <c r="E649" s="9"/>
    </row>
    <row r="650" spans="3:5">
      <c r="C650" s="9"/>
      <c r="E650" s="9"/>
    </row>
    <row r="651" spans="3:5">
      <c r="C651" s="9"/>
      <c r="E651" s="9"/>
    </row>
    <row r="652" spans="3:5">
      <c r="C652" s="9"/>
      <c r="E652" s="9"/>
    </row>
    <row r="653" spans="3:5">
      <c r="C653" s="9"/>
      <c r="E653" s="9"/>
    </row>
    <row r="654" spans="3:5">
      <c r="C654" s="9"/>
      <c r="E654" s="9"/>
    </row>
    <row r="655" spans="3:5">
      <c r="C655" s="9"/>
      <c r="E655" s="9"/>
    </row>
    <row r="656" spans="3:5">
      <c r="C656" s="9"/>
      <c r="E656" s="9"/>
    </row>
    <row r="657" spans="3:5">
      <c r="C657" s="9"/>
      <c r="E657" s="9"/>
    </row>
    <row r="658" spans="3:5">
      <c r="C658" s="9"/>
      <c r="E658" s="9"/>
    </row>
    <row r="659" spans="3:5">
      <c r="C659" s="9"/>
      <c r="E659" s="9"/>
    </row>
    <row r="660" spans="3:5">
      <c r="C660" s="9"/>
      <c r="E660" s="9"/>
    </row>
    <row r="661" spans="3:5">
      <c r="C661" s="9"/>
      <c r="E661" s="9"/>
    </row>
    <row r="662" spans="3:5">
      <c r="C662" s="9"/>
      <c r="E662" s="9"/>
    </row>
    <row r="663" spans="3:5">
      <c r="C663" s="9"/>
      <c r="E663" s="9"/>
    </row>
    <row r="664" spans="3:5">
      <c r="C664" s="9"/>
      <c r="E664" s="9"/>
    </row>
    <row r="665" spans="3:5">
      <c r="C665" s="9"/>
      <c r="E665" s="9"/>
    </row>
    <row r="666" spans="3:5">
      <c r="C666" s="9"/>
      <c r="E666" s="9"/>
    </row>
    <row r="667" spans="3:5">
      <c r="C667" s="9"/>
      <c r="E667" s="9"/>
    </row>
    <row r="668" spans="3:5">
      <c r="C668" s="9"/>
      <c r="E668" s="9"/>
    </row>
    <row r="669" spans="3:5">
      <c r="C669" s="9"/>
      <c r="E669" s="9"/>
    </row>
    <row r="670" spans="3:5">
      <c r="C670" s="9"/>
      <c r="E670" s="9"/>
    </row>
    <row r="671" spans="3:5">
      <c r="C671" s="9"/>
      <c r="E671" s="9"/>
    </row>
    <row r="672" spans="3:5">
      <c r="C672" s="9"/>
      <c r="E672" s="9"/>
    </row>
    <row r="673" spans="3:5">
      <c r="C673" s="9"/>
      <c r="E673" s="9"/>
    </row>
    <row r="674" spans="3:5">
      <c r="C674" s="9"/>
      <c r="E674" s="9"/>
    </row>
    <row r="675" spans="3:5">
      <c r="C675" s="9"/>
      <c r="E675" s="9"/>
    </row>
    <row r="676" spans="3:5">
      <c r="C676" s="9"/>
      <c r="E676" s="9"/>
    </row>
    <row r="677" spans="3:5">
      <c r="C677" s="9"/>
      <c r="E677" s="9"/>
    </row>
    <row r="678" spans="3:5">
      <c r="C678" s="9"/>
      <c r="E678" s="9"/>
    </row>
    <row r="679" spans="3:5">
      <c r="C679" s="9"/>
      <c r="E679" s="9"/>
    </row>
    <row r="680" spans="3:5">
      <c r="C680" s="9"/>
      <c r="E680" s="9"/>
    </row>
    <row r="681" spans="3:5">
      <c r="C681" s="9"/>
      <c r="E681" s="9"/>
    </row>
    <row r="682" spans="3:5">
      <c r="C682" s="9"/>
      <c r="E682" s="9"/>
    </row>
    <row r="683" spans="3:5">
      <c r="C683" s="9"/>
      <c r="E683" s="9"/>
    </row>
    <row r="684" spans="3:5">
      <c r="C684" s="9"/>
      <c r="E684" s="9"/>
    </row>
    <row r="685" spans="3:5">
      <c r="C685" s="9"/>
      <c r="E685" s="9"/>
    </row>
    <row r="686" spans="3:5">
      <c r="C686" s="9"/>
      <c r="E686" s="9"/>
    </row>
    <row r="687" spans="3:5">
      <c r="C687" s="9"/>
      <c r="E687" s="9"/>
    </row>
    <row r="688" spans="3:5">
      <c r="C688" s="9"/>
      <c r="E688" s="9"/>
    </row>
    <row r="689" spans="3:5">
      <c r="C689" s="9"/>
      <c r="E689" s="9"/>
    </row>
    <row r="690" spans="3:5">
      <c r="C690" s="9"/>
      <c r="E690" s="9"/>
    </row>
    <row r="691" spans="3:5">
      <c r="C691" s="9"/>
      <c r="E691" s="9"/>
    </row>
    <row r="692" spans="3:5">
      <c r="C692" s="9"/>
      <c r="E692" s="9"/>
    </row>
    <row r="693" spans="3:5">
      <c r="C693" s="9"/>
      <c r="E693" s="9"/>
    </row>
    <row r="694" spans="3:5">
      <c r="C694" s="9"/>
      <c r="E694" s="9"/>
    </row>
    <row r="695" spans="3:5">
      <c r="C695" s="9"/>
      <c r="E695" s="9"/>
    </row>
    <row r="696" spans="3:5">
      <c r="C696" s="9"/>
      <c r="E696" s="9"/>
    </row>
    <row r="697" spans="3:5">
      <c r="C697" s="9"/>
      <c r="E697" s="9"/>
    </row>
    <row r="698" spans="3:5">
      <c r="C698" s="9"/>
      <c r="E698" s="9"/>
    </row>
    <row r="699" spans="3:5">
      <c r="C699" s="9"/>
      <c r="E699" s="9"/>
    </row>
    <row r="700" spans="3:5">
      <c r="C700" s="9"/>
      <c r="E700" s="9"/>
    </row>
    <row r="701" spans="3:5">
      <c r="C701" s="9"/>
      <c r="E701" s="9"/>
    </row>
    <row r="702" spans="3:5">
      <c r="C702" s="9"/>
      <c r="E702" s="9"/>
    </row>
    <row r="703" spans="3:5">
      <c r="C703" s="9"/>
      <c r="E703" s="9"/>
    </row>
    <row r="704" spans="3:5">
      <c r="C704" s="9"/>
      <c r="E704" s="9"/>
    </row>
    <row r="705" spans="3:5">
      <c r="C705" s="9"/>
      <c r="E705" s="9"/>
    </row>
    <row r="706" spans="3:5">
      <c r="C706" s="9"/>
      <c r="E706" s="9"/>
    </row>
    <row r="707" spans="3:5">
      <c r="C707" s="9"/>
      <c r="E707" s="9"/>
    </row>
    <row r="708" spans="3:5">
      <c r="C708" s="9"/>
      <c r="E708" s="9"/>
    </row>
    <row r="709" spans="3:5">
      <c r="C709" s="9"/>
      <c r="E709" s="9"/>
    </row>
    <row r="710" spans="3:5">
      <c r="C710" s="9"/>
      <c r="E710" s="9"/>
    </row>
    <row r="711" spans="3:5">
      <c r="C711" s="9"/>
      <c r="E711" s="9"/>
    </row>
    <row r="712" spans="3:5">
      <c r="C712" s="9"/>
      <c r="E712" s="9"/>
    </row>
    <row r="713" spans="3:5">
      <c r="C713" s="9"/>
      <c r="E713" s="9"/>
    </row>
    <row r="714" spans="3:5">
      <c r="C714" s="9"/>
      <c r="E714" s="9"/>
    </row>
    <row r="715" spans="3:5">
      <c r="C715" s="9"/>
      <c r="E715" s="9"/>
    </row>
    <row r="716" spans="3:5">
      <c r="C716" s="9"/>
      <c r="E716" s="9"/>
    </row>
    <row r="717" spans="3:5">
      <c r="C717" s="9"/>
      <c r="E717" s="9"/>
    </row>
    <row r="718" spans="3:5">
      <c r="C718" s="9"/>
      <c r="E718" s="9"/>
    </row>
    <row r="719" spans="3:5">
      <c r="C719" s="9"/>
      <c r="E719" s="9"/>
    </row>
    <row r="720" spans="3:5">
      <c r="C720" s="9"/>
      <c r="E720" s="9"/>
    </row>
    <row r="721" spans="3:5">
      <c r="C721" s="9"/>
      <c r="E721" s="9"/>
    </row>
    <row r="722" spans="3:5">
      <c r="C722" s="9"/>
      <c r="E722" s="9"/>
    </row>
    <row r="723" spans="3:5">
      <c r="C723" s="9"/>
      <c r="E723" s="9"/>
    </row>
    <row r="724" spans="3:5">
      <c r="C724" s="9"/>
      <c r="E724" s="9"/>
    </row>
    <row r="725" spans="3:5">
      <c r="C725" s="9"/>
      <c r="E725" s="9"/>
    </row>
    <row r="726" spans="3:5">
      <c r="C726" s="9"/>
      <c r="E726" s="9"/>
    </row>
    <row r="727" spans="3:5">
      <c r="C727" s="9"/>
      <c r="E727" s="9"/>
    </row>
    <row r="728" spans="3:5">
      <c r="C728" s="9"/>
      <c r="E728" s="9"/>
    </row>
    <row r="729" spans="3:5">
      <c r="C729" s="9"/>
      <c r="E729" s="9"/>
    </row>
    <row r="730" spans="3:5">
      <c r="C730" s="9"/>
      <c r="E730" s="9"/>
    </row>
    <row r="731" spans="3:5">
      <c r="C731" s="9"/>
      <c r="E731" s="9"/>
    </row>
    <row r="732" spans="3:5">
      <c r="C732" s="9"/>
      <c r="E732" s="9"/>
    </row>
    <row r="733" spans="3:5">
      <c r="C733" s="9"/>
      <c r="E733" s="9"/>
    </row>
    <row r="734" spans="3:5">
      <c r="C734" s="9"/>
      <c r="E734" s="9"/>
    </row>
    <row r="735" spans="3:5">
      <c r="C735" s="9"/>
      <c r="E735" s="9"/>
    </row>
    <row r="736" spans="3:5">
      <c r="C736" s="9"/>
      <c r="E736" s="9"/>
    </row>
    <row r="737" spans="3:5">
      <c r="C737" s="9"/>
      <c r="E737" s="9"/>
    </row>
    <row r="738" spans="3:5">
      <c r="C738" s="9"/>
      <c r="E738" s="9"/>
    </row>
    <row r="739" spans="3:5">
      <c r="C739" s="9"/>
      <c r="E739" s="9"/>
    </row>
    <row r="740" spans="3:5">
      <c r="C740" s="9"/>
      <c r="E740" s="9"/>
    </row>
    <row r="741" spans="3:5">
      <c r="C741" s="9"/>
      <c r="E741" s="9"/>
    </row>
    <row r="742" spans="3:5">
      <c r="C742" s="9"/>
      <c r="E742" s="9"/>
    </row>
    <row r="743" spans="3:5">
      <c r="C743" s="9"/>
      <c r="E743" s="9"/>
    </row>
    <row r="744" spans="3:5">
      <c r="C744" s="9"/>
      <c r="E744" s="9"/>
    </row>
    <row r="745" spans="3:5">
      <c r="C745" s="9"/>
      <c r="E745" s="9"/>
    </row>
    <row r="746" spans="3:5">
      <c r="C746" s="9"/>
      <c r="E746" s="9"/>
    </row>
    <row r="747" spans="3:5">
      <c r="C747" s="9"/>
      <c r="E747" s="9"/>
    </row>
    <row r="748" spans="3:5">
      <c r="C748" s="9"/>
      <c r="E748" s="9"/>
    </row>
    <row r="749" spans="3:5">
      <c r="C749" s="9"/>
      <c r="E749" s="9"/>
    </row>
    <row r="750" spans="3:5">
      <c r="C750" s="9"/>
      <c r="E750" s="9"/>
    </row>
    <row r="751" spans="3:5">
      <c r="C751" s="9"/>
      <c r="E751" s="9"/>
    </row>
    <row r="752" spans="3:5">
      <c r="C752" s="9"/>
      <c r="E752" s="9"/>
    </row>
    <row r="753" spans="3:5">
      <c r="C753" s="9"/>
      <c r="E753" s="9"/>
    </row>
    <row r="754" spans="3:5">
      <c r="C754" s="9"/>
      <c r="E754" s="9"/>
    </row>
    <row r="755" spans="3:5">
      <c r="C755" s="9"/>
      <c r="E755" s="9"/>
    </row>
    <row r="756" spans="3:5">
      <c r="C756" s="9"/>
      <c r="E756" s="9"/>
    </row>
    <row r="757" spans="3:5">
      <c r="C757" s="9"/>
      <c r="E757" s="9"/>
    </row>
    <row r="758" spans="3:5">
      <c r="C758" s="9"/>
      <c r="E758" s="9"/>
    </row>
    <row r="759" spans="3:5">
      <c r="C759" s="9"/>
      <c r="E759" s="9"/>
    </row>
    <row r="760" spans="3:5">
      <c r="C760" s="9"/>
      <c r="E760" s="9"/>
    </row>
    <row r="761" spans="3:5">
      <c r="C761" s="9"/>
      <c r="E761" s="9"/>
    </row>
    <row r="762" spans="3:5">
      <c r="C762" s="9"/>
      <c r="E762" s="9"/>
    </row>
    <row r="763" spans="3:5">
      <c r="C763" s="9"/>
      <c r="E763" s="9"/>
    </row>
    <row r="764" spans="3:5">
      <c r="C764" s="9"/>
      <c r="E764" s="9"/>
    </row>
    <row r="765" spans="3:5">
      <c r="C765" s="9"/>
      <c r="E765" s="9"/>
    </row>
    <row r="766" spans="3:5">
      <c r="C766" s="9"/>
      <c r="E766" s="9"/>
    </row>
    <row r="767" spans="3:5">
      <c r="C767" s="9"/>
      <c r="E767" s="9"/>
    </row>
    <row r="768" spans="3:5">
      <c r="C768" s="9"/>
      <c r="E768" s="9"/>
    </row>
    <row r="769" spans="3:5">
      <c r="C769" s="9"/>
      <c r="E769" s="9"/>
    </row>
    <row r="770" spans="3:5">
      <c r="C770" s="9"/>
      <c r="E770" s="9"/>
    </row>
    <row r="771" spans="3:5">
      <c r="C771" s="9"/>
      <c r="E771" s="9"/>
    </row>
    <row r="772" spans="3:5">
      <c r="C772" s="9"/>
      <c r="E772" s="9"/>
    </row>
    <row r="773" spans="3:5">
      <c r="C773" s="9"/>
      <c r="E773" s="9"/>
    </row>
    <row r="774" spans="3:5">
      <c r="C774" s="9"/>
      <c r="E774" s="9"/>
    </row>
    <row r="775" spans="3:5">
      <c r="C775" s="9"/>
      <c r="E775" s="9"/>
    </row>
    <row r="776" spans="3:5">
      <c r="C776" s="9"/>
      <c r="E776" s="9"/>
    </row>
    <row r="777" spans="3:5">
      <c r="C777" s="9"/>
      <c r="E777" s="9"/>
    </row>
    <row r="778" spans="3:5">
      <c r="C778" s="9"/>
      <c r="E778" s="9"/>
    </row>
    <row r="779" spans="3:5">
      <c r="C779" s="9"/>
      <c r="E779" s="9"/>
    </row>
    <row r="780" spans="3:5">
      <c r="C780" s="9"/>
      <c r="E780" s="9"/>
    </row>
    <row r="781" spans="3:5">
      <c r="C781" s="9"/>
      <c r="E781" s="9"/>
    </row>
    <row r="782" spans="3:5">
      <c r="C782" s="9"/>
      <c r="E782" s="9"/>
    </row>
    <row r="783" spans="3:5">
      <c r="C783" s="9"/>
      <c r="E783" s="9"/>
    </row>
    <row r="784" spans="3:5">
      <c r="C784" s="9"/>
      <c r="E784" s="9"/>
    </row>
    <row r="785" spans="3:5">
      <c r="C785" s="9"/>
      <c r="E785" s="9"/>
    </row>
    <row r="786" spans="3:5">
      <c r="C786" s="9"/>
      <c r="E786" s="9"/>
    </row>
    <row r="787" spans="3:5">
      <c r="C787" s="9"/>
      <c r="E787" s="9"/>
    </row>
    <row r="788" spans="3:5">
      <c r="C788" s="9"/>
      <c r="E788" s="9"/>
    </row>
    <row r="789" spans="3:5">
      <c r="C789" s="9"/>
      <c r="E789" s="9"/>
    </row>
    <row r="790" spans="3:5">
      <c r="C790" s="9"/>
      <c r="E790" s="9"/>
    </row>
    <row r="791" spans="3:5">
      <c r="C791" s="9"/>
      <c r="E791" s="9"/>
    </row>
    <row r="792" spans="3:5">
      <c r="C792" s="9"/>
      <c r="E792" s="9"/>
    </row>
    <row r="793" spans="3:5">
      <c r="C793" s="9"/>
      <c r="E793" s="9"/>
    </row>
    <row r="794" spans="3:5">
      <c r="C794" s="9"/>
      <c r="E794" s="9"/>
    </row>
    <row r="795" spans="3:5">
      <c r="C795" s="9"/>
      <c r="E795" s="9"/>
    </row>
    <row r="796" spans="3:5">
      <c r="C796" s="9"/>
      <c r="E796" s="9"/>
    </row>
    <row r="797" spans="3:5">
      <c r="C797" s="9"/>
      <c r="E797" s="9"/>
    </row>
    <row r="798" spans="3:5">
      <c r="C798" s="9"/>
      <c r="E798" s="9"/>
    </row>
    <row r="799" spans="3:5">
      <c r="C799" s="9"/>
      <c r="E799" s="9"/>
    </row>
    <row r="800" spans="3:5">
      <c r="C800" s="9"/>
      <c r="E800" s="9"/>
    </row>
    <row r="801" spans="3:5">
      <c r="C801" s="9"/>
      <c r="E801" s="9"/>
    </row>
    <row r="802" spans="3:5">
      <c r="C802" s="9"/>
      <c r="E802" s="9"/>
    </row>
    <row r="803" spans="3:5">
      <c r="C803" s="9"/>
      <c r="E803" s="9"/>
    </row>
    <row r="804" spans="3:5">
      <c r="C804" s="9"/>
      <c r="E804" s="9"/>
    </row>
    <row r="805" spans="3:5">
      <c r="C805" s="9"/>
      <c r="E805" s="9"/>
    </row>
    <row r="806" spans="3:5">
      <c r="C806" s="9"/>
      <c r="E806" s="9"/>
    </row>
    <row r="807" spans="3:5">
      <c r="C807" s="9"/>
      <c r="E807" s="9"/>
    </row>
    <row r="808" spans="3:5">
      <c r="C808" s="9"/>
      <c r="E808" s="9"/>
    </row>
    <row r="809" spans="3:5">
      <c r="C809" s="9"/>
      <c r="E809" s="9"/>
    </row>
    <row r="810" spans="3:5">
      <c r="C810" s="9"/>
      <c r="E810" s="9"/>
    </row>
    <row r="811" spans="3:5">
      <c r="C811" s="9"/>
      <c r="E811" s="9"/>
    </row>
    <row r="812" spans="3:5">
      <c r="C812" s="9"/>
      <c r="E812" s="9"/>
    </row>
    <row r="813" spans="3:5">
      <c r="C813" s="9"/>
      <c r="E813" s="9"/>
    </row>
    <row r="814" spans="3:5">
      <c r="C814" s="9"/>
      <c r="E814" s="9"/>
    </row>
    <row r="815" spans="3:5">
      <c r="C815" s="9"/>
      <c r="E815" s="9"/>
    </row>
    <row r="816" spans="3:5">
      <c r="C816" s="9"/>
      <c r="E816" s="9"/>
    </row>
    <row r="817" spans="3:5">
      <c r="C817" s="9"/>
      <c r="E817" s="9"/>
    </row>
    <row r="818" spans="3:5">
      <c r="C818" s="9"/>
      <c r="E818" s="9"/>
    </row>
    <row r="819" spans="3:5">
      <c r="C819" s="9"/>
      <c r="E819" s="9"/>
    </row>
    <row r="820" spans="3:5">
      <c r="C820" s="9"/>
      <c r="E820" s="9"/>
    </row>
    <row r="821" spans="3:5">
      <c r="C821" s="9"/>
      <c r="E821" s="9"/>
    </row>
    <row r="822" spans="3:5">
      <c r="C822" s="9"/>
      <c r="E822" s="9"/>
    </row>
    <row r="823" spans="3:5">
      <c r="C823" s="9"/>
      <c r="E823" s="9"/>
    </row>
    <row r="824" spans="3:5">
      <c r="C824" s="9"/>
      <c r="E824" s="9"/>
    </row>
    <row r="825" spans="3:5">
      <c r="C825" s="9"/>
      <c r="E825" s="9"/>
    </row>
    <row r="826" spans="3:5">
      <c r="C826" s="9"/>
      <c r="E826" s="9"/>
    </row>
    <row r="827" spans="3:5">
      <c r="C827" s="9"/>
      <c r="E827" s="9"/>
    </row>
    <row r="828" spans="3:5">
      <c r="C828" s="9"/>
      <c r="E828" s="9"/>
    </row>
    <row r="829" spans="3:5">
      <c r="C829" s="9"/>
      <c r="E829" s="9"/>
    </row>
    <row r="830" spans="3:5">
      <c r="C830" s="9"/>
      <c r="E830" s="9"/>
    </row>
    <row r="831" spans="3:5">
      <c r="C831" s="9"/>
      <c r="E831" s="9"/>
    </row>
    <row r="832" spans="3:5">
      <c r="C832" s="9"/>
      <c r="E832" s="9"/>
    </row>
    <row r="833" spans="3:5">
      <c r="C833" s="9"/>
      <c r="E833" s="9"/>
    </row>
    <row r="834" spans="3:5">
      <c r="C834" s="9"/>
      <c r="E834" s="9"/>
    </row>
    <row r="835" spans="3:5">
      <c r="C835" s="9"/>
      <c r="E835" s="9"/>
    </row>
    <row r="836" spans="3:5">
      <c r="C836" s="9"/>
      <c r="E836" s="9"/>
    </row>
    <row r="837" spans="3:5">
      <c r="C837" s="9"/>
      <c r="E837" s="9"/>
    </row>
    <row r="838" spans="3:5">
      <c r="C838" s="9"/>
      <c r="E838" s="9"/>
    </row>
    <row r="839" spans="3:5">
      <c r="C839" s="9"/>
      <c r="E839" s="9"/>
    </row>
    <row r="840" spans="3:5">
      <c r="C840" s="9"/>
      <c r="E840" s="9"/>
    </row>
    <row r="841" spans="3:5">
      <c r="C841" s="9"/>
      <c r="E841" s="9"/>
    </row>
    <row r="842" spans="3:5">
      <c r="C842" s="9"/>
      <c r="E842" s="9"/>
    </row>
    <row r="843" spans="3:5">
      <c r="C843" s="9"/>
      <c r="E843" s="9"/>
    </row>
    <row r="844" spans="3:5">
      <c r="C844" s="9"/>
      <c r="E844" s="9"/>
    </row>
    <row r="845" spans="3:5">
      <c r="C845" s="9"/>
      <c r="E845" s="9"/>
    </row>
    <row r="846" spans="3:5">
      <c r="C846" s="9"/>
      <c r="E846" s="9"/>
    </row>
    <row r="847" spans="3:5">
      <c r="C847" s="9"/>
      <c r="E847" s="9"/>
    </row>
    <row r="848" spans="3:5">
      <c r="C848" s="9"/>
      <c r="E848" s="9"/>
    </row>
    <row r="849" spans="3:5">
      <c r="C849" s="9"/>
      <c r="E849" s="9"/>
    </row>
    <row r="850" spans="3:5">
      <c r="C850" s="9"/>
      <c r="E850" s="9"/>
    </row>
    <row r="851" spans="3:5">
      <c r="C851" s="9"/>
      <c r="E851" s="9"/>
    </row>
    <row r="852" spans="3:5">
      <c r="C852" s="9"/>
      <c r="E852" s="9"/>
    </row>
    <row r="853" spans="3:5">
      <c r="C853" s="9"/>
      <c r="E853" s="9"/>
    </row>
    <row r="854" spans="3:5">
      <c r="C854" s="9"/>
      <c r="E854" s="9"/>
    </row>
    <row r="855" spans="3:5">
      <c r="C855" s="9"/>
      <c r="E855" s="9"/>
    </row>
    <row r="856" spans="3:5">
      <c r="C856" s="9"/>
      <c r="E856" s="9"/>
    </row>
    <row r="857" spans="3:5">
      <c r="C857" s="9"/>
      <c r="E857" s="9"/>
    </row>
    <row r="858" spans="3:5">
      <c r="C858" s="9"/>
      <c r="E858" s="9"/>
    </row>
    <row r="859" spans="3:5">
      <c r="C859" s="9"/>
      <c r="E859" s="9"/>
    </row>
    <row r="860" spans="3:5">
      <c r="C860" s="9"/>
      <c r="E860" s="9"/>
    </row>
    <row r="861" spans="3:5">
      <c r="C861" s="9"/>
      <c r="E861" s="9"/>
    </row>
    <row r="862" spans="3:5">
      <c r="C862" s="9"/>
      <c r="E862" s="9"/>
    </row>
    <row r="863" spans="3:5">
      <c r="C863" s="9"/>
      <c r="E863" s="9"/>
    </row>
    <row r="864" spans="3:5">
      <c r="C864" s="9"/>
      <c r="E864" s="9"/>
    </row>
    <row r="865" spans="3:5">
      <c r="C865" s="9"/>
      <c r="E865" s="9"/>
    </row>
    <row r="866" spans="3:5">
      <c r="C866" s="9"/>
      <c r="E866" s="9"/>
    </row>
    <row r="867" spans="3:5">
      <c r="C867" s="9"/>
      <c r="E867" s="9"/>
    </row>
    <row r="868" spans="3:5">
      <c r="C868" s="9"/>
      <c r="E868" s="9"/>
    </row>
    <row r="869" spans="3:5">
      <c r="C869" s="9"/>
      <c r="E869" s="9"/>
    </row>
    <row r="870" spans="3:5">
      <c r="C870" s="9"/>
      <c r="E870" s="9"/>
    </row>
    <row r="871" spans="3:5">
      <c r="C871" s="9"/>
      <c r="E871" s="9"/>
    </row>
    <row r="872" spans="3:5">
      <c r="C872" s="9"/>
      <c r="E872" s="9"/>
    </row>
    <row r="873" spans="3:5">
      <c r="C873" s="9"/>
      <c r="E873" s="9"/>
    </row>
    <row r="874" spans="3:5">
      <c r="C874" s="9"/>
      <c r="E874" s="9"/>
    </row>
    <row r="875" spans="3:5">
      <c r="C875" s="9"/>
      <c r="E875" s="9"/>
    </row>
    <row r="876" spans="3:5">
      <c r="C876" s="9"/>
      <c r="E876" s="9"/>
    </row>
    <row r="877" spans="3:5">
      <c r="C877" s="9"/>
      <c r="E877" s="9"/>
    </row>
    <row r="878" spans="3:5">
      <c r="C878" s="9"/>
      <c r="E878" s="9"/>
    </row>
    <row r="879" spans="3:5">
      <c r="C879" s="9"/>
      <c r="E879" s="9"/>
    </row>
    <row r="880" spans="3:5">
      <c r="C880" s="9"/>
      <c r="E880" s="9"/>
    </row>
    <row r="881" spans="3:5">
      <c r="C881" s="9"/>
      <c r="E881" s="9"/>
    </row>
    <row r="882" spans="3:5">
      <c r="C882" s="9"/>
      <c r="E882" s="9"/>
    </row>
    <row r="883" spans="3:5">
      <c r="C883" s="9"/>
      <c r="E883" s="9"/>
    </row>
    <row r="884" spans="3:5">
      <c r="C884" s="9"/>
      <c r="E884" s="9"/>
    </row>
    <row r="885" spans="3:5">
      <c r="C885" s="9"/>
      <c r="E885" s="9"/>
    </row>
    <row r="886" spans="3:5">
      <c r="C886" s="9"/>
      <c r="E886" s="9"/>
    </row>
    <row r="887" spans="3:5">
      <c r="C887" s="9"/>
      <c r="E887" s="9"/>
    </row>
    <row r="888" spans="3:5">
      <c r="C888" s="9"/>
      <c r="E888" s="9"/>
    </row>
    <row r="889" spans="3:5">
      <c r="C889" s="9"/>
      <c r="E889" s="9"/>
    </row>
    <row r="890" spans="3:5">
      <c r="C890" s="9"/>
      <c r="E890" s="9"/>
    </row>
    <row r="891" spans="3:5">
      <c r="C891" s="9"/>
      <c r="E891" s="9"/>
    </row>
    <row r="892" spans="3:5">
      <c r="C892" s="9"/>
      <c r="E892" s="9"/>
    </row>
    <row r="893" spans="3:5">
      <c r="C893" s="9"/>
      <c r="E893" s="9"/>
    </row>
    <row r="894" spans="3:5">
      <c r="C894" s="9"/>
      <c r="E894" s="9"/>
    </row>
    <row r="895" spans="3:5">
      <c r="C895" s="9"/>
      <c r="E895" s="9"/>
    </row>
    <row r="896" spans="3:5">
      <c r="C896" s="9"/>
      <c r="E896" s="9"/>
    </row>
    <row r="897" spans="3:5">
      <c r="C897" s="9"/>
      <c r="E897" s="9"/>
    </row>
    <row r="898" spans="3:5">
      <c r="C898" s="9"/>
      <c r="E898" s="9"/>
    </row>
    <row r="899" spans="3:5">
      <c r="C899" s="9"/>
      <c r="E899" s="9"/>
    </row>
    <row r="900" spans="3:5">
      <c r="C900" s="9"/>
      <c r="E900" s="9"/>
    </row>
    <row r="901" spans="3:5">
      <c r="C901" s="9"/>
      <c r="E901" s="9"/>
    </row>
    <row r="902" spans="3:5">
      <c r="C902" s="9"/>
      <c r="E902" s="9"/>
    </row>
    <row r="903" spans="3:5">
      <c r="C903" s="9"/>
      <c r="E903" s="9"/>
    </row>
    <row r="904" spans="3:5">
      <c r="C904" s="9"/>
      <c r="E904" s="9"/>
    </row>
    <row r="905" spans="3:5">
      <c r="C905" s="9"/>
      <c r="E905" s="9"/>
    </row>
    <row r="906" spans="3:5">
      <c r="C906" s="9"/>
      <c r="E906" s="9"/>
    </row>
    <row r="907" spans="3:5">
      <c r="C907" s="9"/>
      <c r="E907" s="9"/>
    </row>
    <row r="908" spans="3:5">
      <c r="C908" s="9"/>
      <c r="E908" s="9"/>
    </row>
    <row r="909" spans="3:5">
      <c r="C909" s="9"/>
      <c r="E909" s="9"/>
    </row>
    <row r="910" spans="3:5">
      <c r="C910" s="9"/>
      <c r="E910" s="9"/>
    </row>
    <row r="911" spans="3:5">
      <c r="C911" s="9"/>
      <c r="E911" s="9"/>
    </row>
    <row r="912" spans="3:5">
      <c r="C912" s="9"/>
      <c r="E912" s="9"/>
    </row>
    <row r="913" spans="3:5">
      <c r="C913" s="9"/>
      <c r="E913" s="9"/>
    </row>
    <row r="914" spans="3:5">
      <c r="C914" s="9"/>
      <c r="E914" s="9"/>
    </row>
    <row r="915" spans="3:5">
      <c r="C915" s="9"/>
      <c r="E915" s="9"/>
    </row>
    <row r="916" spans="3:5">
      <c r="C916" s="9"/>
      <c r="E916" s="9"/>
    </row>
    <row r="917" spans="3:5">
      <c r="C917" s="9"/>
      <c r="E917" s="9"/>
    </row>
    <row r="918" spans="3:5">
      <c r="C918" s="9"/>
      <c r="E918" s="9"/>
    </row>
    <row r="919" spans="3:5">
      <c r="C919" s="9"/>
      <c r="E919" s="9"/>
    </row>
    <row r="920" spans="3:5">
      <c r="C920" s="9"/>
      <c r="E920" s="9"/>
    </row>
    <row r="921" spans="3:5">
      <c r="C921" s="9"/>
      <c r="E921" s="9"/>
    </row>
    <row r="922" spans="3:5">
      <c r="C922" s="9"/>
      <c r="E922" s="9"/>
    </row>
    <row r="923" spans="3:5">
      <c r="C923" s="9"/>
      <c r="E923" s="9"/>
    </row>
    <row r="924" spans="3:5">
      <c r="C924" s="9"/>
      <c r="E924" s="9"/>
    </row>
    <row r="925" spans="3:5">
      <c r="C925" s="9"/>
      <c r="E925" s="9"/>
    </row>
    <row r="926" spans="3:5">
      <c r="C926" s="9"/>
      <c r="E926" s="9"/>
    </row>
    <row r="927" spans="3:5">
      <c r="C927" s="9"/>
      <c r="E927" s="9"/>
    </row>
    <row r="928" spans="3:5">
      <c r="C928" s="9"/>
      <c r="E928" s="9"/>
    </row>
    <row r="929" spans="3:5">
      <c r="C929" s="9"/>
      <c r="E929" s="9"/>
    </row>
    <row r="930" spans="3:5">
      <c r="C930" s="9"/>
      <c r="E930" s="9"/>
    </row>
    <row r="931" spans="3:5">
      <c r="C931" s="9"/>
      <c r="E931" s="9"/>
    </row>
    <row r="932" spans="3:5">
      <c r="C932" s="9"/>
      <c r="E932" s="9"/>
    </row>
    <row r="933" spans="3:5">
      <c r="C933" s="9"/>
      <c r="E933" s="9"/>
    </row>
    <row r="934" spans="3:5">
      <c r="C934" s="9"/>
      <c r="E934" s="9"/>
    </row>
    <row r="935" spans="3:5">
      <c r="C935" s="9"/>
      <c r="E935" s="9"/>
    </row>
    <row r="936" spans="3:5">
      <c r="C936" s="9"/>
      <c r="E936" s="9"/>
    </row>
    <row r="937" spans="3:5">
      <c r="C937" s="9"/>
      <c r="E937" s="9"/>
    </row>
    <row r="938" spans="3:5">
      <c r="C938" s="9"/>
      <c r="E938" s="9"/>
    </row>
    <row r="939" spans="3:5">
      <c r="C939" s="9"/>
      <c r="E939" s="9"/>
    </row>
    <row r="940" spans="3:5">
      <c r="C940" s="9"/>
      <c r="E940" s="9"/>
    </row>
    <row r="941" spans="3:5">
      <c r="C941" s="9"/>
      <c r="E941" s="9"/>
    </row>
    <row r="942" spans="3:5">
      <c r="C942" s="9"/>
      <c r="E942" s="9"/>
    </row>
    <row r="943" spans="3:5">
      <c r="C943" s="9"/>
      <c r="E943" s="9"/>
    </row>
    <row r="944" spans="3:5">
      <c r="C944" s="9"/>
      <c r="E944" s="9"/>
    </row>
    <row r="945" spans="3:5">
      <c r="C945" s="9"/>
      <c r="E945" s="9"/>
    </row>
    <row r="946" spans="3:5">
      <c r="C946" s="9"/>
      <c r="E946" s="9"/>
    </row>
    <row r="947" spans="3:5">
      <c r="C947" s="9"/>
      <c r="E947" s="9"/>
    </row>
    <row r="948" spans="3:5">
      <c r="C948" s="9"/>
      <c r="E948" s="9"/>
    </row>
    <row r="949" spans="3:5">
      <c r="C949" s="9"/>
      <c r="E949" s="9"/>
    </row>
    <row r="950" spans="3:5">
      <c r="C950" s="9"/>
      <c r="E950" s="9"/>
    </row>
    <row r="951" spans="3:5">
      <c r="C951" s="9"/>
      <c r="E951" s="9"/>
    </row>
    <row r="952" spans="3:5">
      <c r="C952" s="9"/>
      <c r="E952" s="9"/>
    </row>
    <row r="953" spans="3:5">
      <c r="C953" s="9"/>
      <c r="E953" s="9"/>
    </row>
    <row r="954" spans="3:5">
      <c r="C954" s="9"/>
      <c r="E954" s="9"/>
    </row>
    <row r="955" spans="3:5">
      <c r="C955" s="9"/>
      <c r="E955" s="9"/>
    </row>
    <row r="956" spans="3:5">
      <c r="C956" s="9"/>
      <c r="E956" s="9"/>
    </row>
    <row r="957" spans="3:5">
      <c r="C957" s="9"/>
      <c r="E957" s="9"/>
    </row>
    <row r="958" spans="3:5">
      <c r="C958" s="9"/>
      <c r="E958" s="9"/>
    </row>
    <row r="959" spans="3:5">
      <c r="C959" s="9"/>
      <c r="E959" s="9"/>
    </row>
    <row r="960" spans="3:5">
      <c r="C960" s="9"/>
      <c r="E960" s="9"/>
    </row>
    <row r="961" spans="3:5">
      <c r="C961" s="9"/>
      <c r="E961" s="9"/>
    </row>
    <row r="962" spans="3:5">
      <c r="C962" s="9"/>
      <c r="E962" s="9"/>
    </row>
    <row r="963" spans="3:5">
      <c r="C963" s="9"/>
      <c r="E963" s="9"/>
    </row>
    <row r="964" spans="3:5">
      <c r="C964" s="9"/>
      <c r="E964" s="9"/>
    </row>
    <row r="965" spans="3:5">
      <c r="C965" s="9"/>
      <c r="E965" s="9"/>
    </row>
    <row r="966" spans="3:5">
      <c r="C966" s="9"/>
      <c r="E966" s="9"/>
    </row>
    <row r="967" spans="3:5">
      <c r="C967" s="9"/>
      <c r="E967" s="9"/>
    </row>
    <row r="968" spans="3:5">
      <c r="C968" s="9"/>
      <c r="E968" s="9"/>
    </row>
    <row r="969" spans="3:5">
      <c r="C969" s="9"/>
      <c r="E969" s="9"/>
    </row>
    <row r="970" spans="3:5">
      <c r="C970" s="9"/>
      <c r="E970" s="9"/>
    </row>
    <row r="971" spans="3:5">
      <c r="C971" s="9"/>
      <c r="E971" s="9"/>
    </row>
    <row r="972" spans="3:5">
      <c r="C972" s="9"/>
      <c r="E972" s="9"/>
    </row>
    <row r="973" spans="3:5">
      <c r="C973" s="9"/>
      <c r="E973" s="9"/>
    </row>
    <row r="974" spans="3:5">
      <c r="C974" s="9"/>
      <c r="E974" s="9"/>
    </row>
    <row r="975" spans="3:5">
      <c r="C975" s="9"/>
      <c r="E975" s="9"/>
    </row>
    <row r="976" spans="3:5">
      <c r="C976" s="9"/>
      <c r="E976" s="9"/>
    </row>
    <row r="977" spans="3:5">
      <c r="C977" s="9"/>
      <c r="E977" s="9"/>
    </row>
    <row r="978" spans="3:5">
      <c r="C978" s="9"/>
      <c r="E978" s="9"/>
    </row>
    <row r="979" spans="3:5">
      <c r="C979" s="9"/>
      <c r="E979" s="9"/>
    </row>
    <row r="980" spans="3:5">
      <c r="C980" s="9"/>
      <c r="E980" s="9"/>
    </row>
    <row r="981" spans="3:5">
      <c r="C981" s="9"/>
      <c r="E981" s="9"/>
    </row>
    <row r="982" spans="3:5">
      <c r="C982" s="9"/>
      <c r="E982" s="9"/>
    </row>
    <row r="983" spans="3:5">
      <c r="C983" s="9"/>
      <c r="E983" s="9"/>
    </row>
    <row r="984" spans="3:5">
      <c r="C984" s="9"/>
      <c r="E984" s="9"/>
    </row>
    <row r="985" spans="3:5">
      <c r="C985" s="9"/>
      <c r="E985" s="9"/>
    </row>
    <row r="986" spans="3:5">
      <c r="C986" s="9"/>
      <c r="E986" s="9"/>
    </row>
    <row r="987" spans="3:5">
      <c r="C987" s="9"/>
      <c r="E987" s="9"/>
    </row>
    <row r="988" spans="3:5">
      <c r="C988" s="9"/>
      <c r="E988" s="9"/>
    </row>
    <row r="989" spans="3:5">
      <c r="C989" s="9"/>
      <c r="E989" s="9"/>
    </row>
    <row r="990" spans="3:5">
      <c r="C990" s="9"/>
      <c r="E990" s="9"/>
    </row>
    <row r="991" spans="3:5">
      <c r="C991" s="9"/>
      <c r="E991" s="9"/>
    </row>
    <row r="992" spans="3:5">
      <c r="C992" s="9"/>
      <c r="E992" s="9"/>
    </row>
    <row r="993" spans="3:5">
      <c r="C993" s="9"/>
      <c r="E993" s="9"/>
    </row>
    <row r="994" spans="3:5">
      <c r="C994" s="9"/>
      <c r="E994" s="9"/>
    </row>
    <row r="995" spans="3:5">
      <c r="C995" s="9"/>
      <c r="E995" s="9"/>
    </row>
    <row r="996" spans="3:5">
      <c r="C996" s="9"/>
      <c r="E996" s="9"/>
    </row>
    <row r="997" spans="3:5">
      <c r="C997" s="9"/>
      <c r="E997" s="9"/>
    </row>
    <row r="998" spans="3:5">
      <c r="C998" s="9"/>
      <c r="E998" s="9"/>
    </row>
    <row r="999" spans="3:5">
      <c r="C999" s="9"/>
      <c r="E999" s="9"/>
    </row>
    <row r="1000" spans="3:5">
      <c r="C1000" s="9"/>
      <c r="E1000" s="9"/>
    </row>
  </sheetData>
  <pageMargins left="0" right="0" top="0" bottom="0" header="0" footer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000"/>
  <sheetViews>
    <sheetView workbookViewId="0"/>
  </sheetViews>
  <sheetFormatPr defaultColWidth="12.5703125" defaultRowHeight="15.75" customHeight="1"/>
  <cols>
    <col min="1" max="1" width="24.7109375" customWidth="1"/>
    <col min="2" max="2" width="44.28515625" customWidth="1"/>
    <col min="3" max="3" width="31.28515625" customWidth="1"/>
    <col min="4" max="4" width="8.42578125" customWidth="1"/>
    <col min="5" max="5" width="61.42578125" customWidth="1"/>
    <col min="6" max="6" width="8.42578125" customWidth="1"/>
    <col min="7" max="7" width="13.28515625" customWidth="1"/>
    <col min="8" max="8" width="9.42578125" customWidth="1"/>
  </cols>
  <sheetData>
    <row r="1" spans="1:8">
      <c r="A1" s="1" t="s">
        <v>0</v>
      </c>
      <c r="B1" s="2"/>
      <c r="C1" s="3"/>
      <c r="D1" s="2"/>
      <c r="E1" s="3"/>
      <c r="F1" s="2"/>
      <c r="G1" s="2"/>
      <c r="H1" s="2"/>
    </row>
    <row r="2" spans="1:8">
      <c r="A2" s="4" t="s">
        <v>1</v>
      </c>
      <c r="B2" s="2"/>
      <c r="C2" s="3"/>
      <c r="D2" s="2"/>
      <c r="E2" s="3"/>
      <c r="F2" s="2"/>
      <c r="G2" s="2"/>
      <c r="H2" s="2"/>
    </row>
    <row r="3" spans="1:8">
      <c r="A3" s="5">
        <f ca="1">NOW()</f>
        <v>46118.620961574074</v>
      </c>
      <c r="B3" s="2"/>
      <c r="C3" s="3"/>
      <c r="D3" s="2"/>
      <c r="E3" s="3"/>
      <c r="F3" s="2"/>
      <c r="G3" s="2"/>
      <c r="H3" s="2"/>
    </row>
    <row r="4" spans="1:8">
      <c r="A4" s="4" t="s">
        <v>2</v>
      </c>
      <c r="B4" s="2"/>
      <c r="C4" s="3"/>
      <c r="D4" s="2"/>
      <c r="E4" s="3"/>
      <c r="F4" s="2"/>
      <c r="G4" s="2"/>
      <c r="H4" s="2"/>
    </row>
    <row r="5" spans="1:8">
      <c r="A5" s="4" t="s">
        <v>3</v>
      </c>
      <c r="B5" s="2"/>
      <c r="C5" s="3"/>
      <c r="D5" s="2"/>
      <c r="E5" s="3"/>
      <c r="F5" s="2"/>
      <c r="G5" s="2"/>
      <c r="H5" s="2"/>
    </row>
    <row r="6" spans="1:8">
      <c r="A6" s="6" t="s">
        <v>4</v>
      </c>
      <c r="B6" s="6" t="s">
        <v>5</v>
      </c>
      <c r="C6" s="7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6" t="s">
        <v>11</v>
      </c>
    </row>
    <row r="7" spans="1:8">
      <c r="A7" s="8" t="str">
        <f ca="1">IFERROR(__xludf.DUMMYFUNCTION("FILTER(IMPORTRANGE(""https://docs.google.com/spreadsheets/d/1sJXqJAqoqS15wvfnSlYqAhIS5H8gfmcPrvi7oU2Wans/edit#gid=806267711"",""Sheet1!A:H""),INDEX(IMPORTRANGE(""https://docs.google.com/spreadsheets/d/1sJXqJAqoqS15wvfnSlYqAhIS5H8gfmcPrvi7oU2Wans/edit#gid="&amp;"806267711"",""Sheet1!A:H""),0,6)=""CAD"")"),"AS-BASE-PV")</f>
        <v>AS-BASE-PV</v>
      </c>
      <c r="B7" s="8" t="str">
        <f ca="1">IFERROR(__xludf.DUMMYFUNCTION("""COMPUTED_VALUE"""),"Annual Plan AS-BASE-PV")</f>
        <v>Annual Plan AS-BASE-PV</v>
      </c>
      <c r="C7" s="9" t="str">
        <f ca="1">IFERROR(__xludf.DUMMYFUNCTION("""COMPUTED_VALUE"""),"Platform")</f>
        <v>Platform</v>
      </c>
      <c r="D7" s="8" t="str">
        <f ca="1">IFERROR(__xludf.DUMMYFUNCTION("""COMPUTED_VALUE"""),"Recurring")</f>
        <v>Recurring</v>
      </c>
      <c r="E7" s="9" t="str">
        <f ca="1">IFERROR(__xludf.DUMMYFUNCTION("""COMPUTED_VALUE"""),"Appspace Base Private Cloud Subscription. Provides cloud access to the base Appspace platform for use with compatible a la carte add-ons.")</f>
        <v>Appspace Base Private Cloud Subscription. Provides cloud access to the base Appspace platform for use with compatible a la carte add-ons.</v>
      </c>
      <c r="F7" s="10" t="str">
        <f ca="1">IFERROR(__xludf.DUMMYFUNCTION("""COMPUTED_VALUE"""),"CAD")</f>
        <v>CAD</v>
      </c>
      <c r="G7" s="10">
        <f ca="1">IFERROR(__xludf.DUMMYFUNCTION("""COMPUTED_VALUE"""),1135)</f>
        <v>1135</v>
      </c>
      <c r="H7" s="10">
        <f ca="1">IFERROR(__xludf.DUMMYFUNCTION("""COMPUTED_VALUE"""),13620)</f>
        <v>13620</v>
      </c>
    </row>
    <row r="8" spans="1:8">
      <c r="A8" s="8" t="str">
        <f ca="1">IFERROR(__xludf.DUMMYFUNCTION("""COMPUTED_VALUE"""),"AS-BW-GB")</f>
        <v>AS-BW-GB</v>
      </c>
      <c r="B8" s="8" t="str">
        <f ca="1">IFERROR(__xludf.DUMMYFUNCTION("""COMPUTED_VALUE"""),"Annual Plan AS-BW-GB")</f>
        <v>Annual Plan AS-BW-GB</v>
      </c>
      <c r="C8" s="9" t="str">
        <f ca="1">IFERROR(__xludf.DUMMYFUNCTION("""COMPUTED_VALUE"""),"Bandwidth")</f>
        <v>Bandwidth</v>
      </c>
      <c r="D8" s="8" t="str">
        <f ca="1">IFERROR(__xludf.DUMMYFUNCTION("""COMPUTED_VALUE"""),"Recurring")</f>
        <v>Recurring</v>
      </c>
      <c r="E8" s="9" t="str">
        <f ca="1">IFERROR(__xludf.DUMMYFUNCTION("""COMPUTED_VALUE"""),"Monthly bandwidth allocation (1 GB/month)")</f>
        <v>Monthly bandwidth allocation (1 GB/month)</v>
      </c>
      <c r="F8" s="10" t="str">
        <f ca="1">IFERROR(__xludf.DUMMYFUNCTION("""COMPUTED_VALUE"""),"CAD")</f>
        <v>CAD</v>
      </c>
      <c r="G8" s="10">
        <f ca="1">IFERROR(__xludf.DUMMYFUNCTION("""COMPUTED_VALUE"""),0.23)</f>
        <v>0.23</v>
      </c>
      <c r="H8" s="10">
        <f ca="1">IFERROR(__xludf.DUMMYFUNCTION("""COMPUTED_VALUE"""),2.76)</f>
        <v>2.76</v>
      </c>
    </row>
    <row r="9" spans="1:8">
      <c r="A9" s="8" t="str">
        <f ca="1">IFERROR(__xludf.DUMMYFUNCTION("""COMPUTED_VALUE"""),"AS-BW-GB-1000")</f>
        <v>AS-BW-GB-1000</v>
      </c>
      <c r="B9" s="8" t="str">
        <f ca="1">IFERROR(__xludf.DUMMYFUNCTION("""COMPUTED_VALUE"""),"Annual Plan AS-BW-GB-1000")</f>
        <v>Annual Plan AS-BW-GB-1000</v>
      </c>
      <c r="C9" s="9" t="str">
        <f ca="1">IFERROR(__xludf.DUMMYFUNCTION("""COMPUTED_VALUE"""),"Bandwidth")</f>
        <v>Bandwidth</v>
      </c>
      <c r="D9" s="8" t="str">
        <f ca="1">IFERROR(__xludf.DUMMYFUNCTION("""COMPUTED_VALUE"""),"Recurring")</f>
        <v>Recurring</v>
      </c>
      <c r="E9" s="9" t="str">
        <f ca="1">IFERROR(__xludf.DUMMYFUNCTION("""COMPUTED_VALUE"""),"Monthly bandwidth allocation (1,000 GB/month)")</f>
        <v>Monthly bandwidth allocation (1,000 GB/month)</v>
      </c>
      <c r="F9" s="10" t="str">
        <f ca="1">IFERROR(__xludf.DUMMYFUNCTION("""COMPUTED_VALUE"""),"CAD")</f>
        <v>CAD</v>
      </c>
      <c r="G9" s="10">
        <f ca="1">IFERROR(__xludf.DUMMYFUNCTION("""COMPUTED_VALUE"""),197)</f>
        <v>197</v>
      </c>
      <c r="H9" s="10">
        <f ca="1">IFERROR(__xludf.DUMMYFUNCTION("""COMPUTED_VALUE"""),2364)</f>
        <v>2364</v>
      </c>
    </row>
    <row r="10" spans="1:8">
      <c r="A10" s="8" t="str">
        <f ca="1">IFERROR(__xludf.DUMMYFUNCTION("""COMPUTED_VALUE"""),"AS-BW-GB-500")</f>
        <v>AS-BW-GB-500</v>
      </c>
      <c r="B10" s="8" t="str">
        <f ca="1">IFERROR(__xludf.DUMMYFUNCTION("""COMPUTED_VALUE"""),"Annual Plan AS-BW-GB-500")</f>
        <v>Annual Plan AS-BW-GB-500</v>
      </c>
      <c r="C10" s="9" t="str">
        <f ca="1">IFERROR(__xludf.DUMMYFUNCTION("""COMPUTED_VALUE"""),"Bandwidth")</f>
        <v>Bandwidth</v>
      </c>
      <c r="D10" s="8" t="str">
        <f ca="1">IFERROR(__xludf.DUMMYFUNCTION("""COMPUTED_VALUE"""),"Recurring")</f>
        <v>Recurring</v>
      </c>
      <c r="E10" s="9" t="str">
        <f ca="1">IFERROR(__xludf.DUMMYFUNCTION("""COMPUTED_VALUE"""),"Monthly bandwidth allocation (500 GB/month)")</f>
        <v>Monthly bandwidth allocation (500 GB/month)</v>
      </c>
      <c r="F10" s="10" t="str">
        <f ca="1">IFERROR(__xludf.DUMMYFUNCTION("""COMPUTED_VALUE"""),"CAD")</f>
        <v>CAD</v>
      </c>
      <c r="G10" s="10">
        <f ca="1">IFERROR(__xludf.DUMMYFUNCTION("""COMPUTED_VALUE"""),105.98)</f>
        <v>105.98</v>
      </c>
      <c r="H10" s="10">
        <f ca="1">IFERROR(__xludf.DUMMYFUNCTION("""COMPUTED_VALUE"""),1271.76)</f>
        <v>1271.76</v>
      </c>
    </row>
    <row r="11" spans="1:8">
      <c r="A11" s="8" t="str">
        <f ca="1">IFERROR(__xludf.DUMMYFUNCTION("""COMPUTED_VALUE"""),"AS-EXPRESS-B-CL")</f>
        <v>AS-EXPRESS-B-CL</v>
      </c>
      <c r="B11" s="8" t="str">
        <f ca="1">IFERROR(__xludf.DUMMYFUNCTION("""COMPUTED_VALUE"""),"Annual Plan AS-EXPRESS-B-CL")</f>
        <v>Annual Plan AS-EXPRESS-B-CL</v>
      </c>
      <c r="C11" s="9" t="str">
        <f ca="1">IFERROR(__xludf.DUMMYFUNCTION("""COMPUTED_VALUE"""),"Platform")</f>
        <v>Platform</v>
      </c>
      <c r="D11" s="8" t="str">
        <f ca="1">IFERROR(__xludf.DUMMYFUNCTION("""COMPUTED_VALUE"""),"Recurring")</f>
        <v>Recurring</v>
      </c>
      <c r="E11" s="9" t="str">
        <f ca="1">IFERROR(__xludf.DUMMYFUNCTION("""COMPUTED_VALUE"""),"Appspace Express Cloud Subscription. Appspace Cloud access to the Appspace Express features for 25 devices, Advanced Support, 25 GB cloud storage, and 25 GB/month cloud bandwidth.")</f>
        <v>Appspace Express Cloud Subscription. Appspace Cloud access to the Appspace Express features for 25 devices, Advanced Support, 25 GB cloud storage, and 25 GB/month cloud bandwidth.</v>
      </c>
      <c r="F11" s="10" t="str">
        <f ca="1">IFERROR(__xludf.DUMMYFUNCTION("""COMPUTED_VALUE"""),"CAD")</f>
        <v>CAD</v>
      </c>
      <c r="G11" s="10">
        <f ca="1">IFERROR(__xludf.DUMMYFUNCTION("""COMPUTED_VALUE"""),1680)</f>
        <v>1680</v>
      </c>
      <c r="H11" s="10">
        <f ca="1">IFERROR(__xludf.DUMMYFUNCTION("""COMPUTED_VALUE"""),20160)</f>
        <v>20160</v>
      </c>
    </row>
    <row r="12" spans="1:8">
      <c r="A12" s="8" t="str">
        <f ca="1">IFERROR(__xludf.DUMMYFUNCTION("""COMPUTED_VALUE"""),"AS-ID-DVC-B-CL-1")</f>
        <v>AS-ID-DVC-B-CL-1</v>
      </c>
      <c r="B12" s="8" t="str">
        <f ca="1">IFERROR(__xludf.DUMMYFUNCTION("""COMPUTED_VALUE"""),"Annual Plan AS-ID-DVC-B-CL-1")</f>
        <v>Annual Plan AS-ID-DVC-B-CL-1</v>
      </c>
      <c r="C12" s="9" t="str">
        <f ca="1">IFERROR(__xludf.DUMMYFUNCTION("""COMPUTED_VALUE"""),"Device ID")</f>
        <v>Device ID</v>
      </c>
      <c r="D12" s="8" t="str">
        <f ca="1">IFERROR(__xludf.DUMMYFUNCTION("""COMPUTED_VALUE"""),"Recurring")</f>
        <v>Recurring</v>
      </c>
      <c r="E12" s="9" t="str">
        <f ca="1">IFERROR(__xludf.DUMMYFUNCTION("""COMPUTED_VALUE"""),"Single additional Device ID (for use with an Express-B cloud subscription)")</f>
        <v>Single additional Device ID (for use with an Express-B cloud subscription)</v>
      </c>
      <c r="F12" s="10" t="str">
        <f ca="1">IFERROR(__xludf.DUMMYFUNCTION("""COMPUTED_VALUE"""),"CAD")</f>
        <v>CAD</v>
      </c>
      <c r="G12" s="10">
        <f ca="1">IFERROR(__xludf.DUMMYFUNCTION("""COMPUTED_VALUE"""),86.29)</f>
        <v>86.29</v>
      </c>
      <c r="H12" s="10">
        <f ca="1">IFERROR(__xludf.DUMMYFUNCTION("""COMPUTED_VALUE"""),1035.48)</f>
        <v>1035.48</v>
      </c>
    </row>
    <row r="13" spans="1:8">
      <c r="A13" s="8" t="str">
        <f ca="1">IFERROR(__xludf.DUMMYFUNCTION("""COMPUTED_VALUE"""),"AS-ID-DVC-CL-1")</f>
        <v>AS-ID-DVC-CL-1</v>
      </c>
      <c r="B13" s="8" t="str">
        <f ca="1">IFERROR(__xludf.DUMMYFUNCTION("""COMPUTED_VALUE"""),"Annual Plan AS-ID-DVC-CL-1")</f>
        <v>Annual Plan AS-ID-DVC-CL-1</v>
      </c>
      <c r="C13" s="9" t="str">
        <f ca="1">IFERROR(__xludf.DUMMYFUNCTION("""COMPUTED_VALUE"""),"Device ID")</f>
        <v>Device ID</v>
      </c>
      <c r="D13" s="8" t="str">
        <f ca="1">IFERROR(__xludf.DUMMYFUNCTION("""COMPUTED_VALUE"""),"Recurring")</f>
        <v>Recurring</v>
      </c>
      <c r="E13" s="9" t="str">
        <f ca="1">IFERROR(__xludf.DUMMYFUNCTION("""COMPUTED_VALUE"""),"Single additional Device ID (for use with a cloud subscription)")</f>
        <v>Single additional Device ID (for use with a cloud subscription)</v>
      </c>
      <c r="F13" s="10" t="str">
        <f ca="1">IFERROR(__xludf.DUMMYFUNCTION("""COMPUTED_VALUE"""),"CAD")</f>
        <v>CAD</v>
      </c>
      <c r="G13" s="10">
        <f ca="1">IFERROR(__xludf.DUMMYFUNCTION("""COMPUTED_VALUE"""),31.04)</f>
        <v>31.04</v>
      </c>
      <c r="H13" s="10">
        <f ca="1">IFERROR(__xludf.DUMMYFUNCTION("""COMPUTED_VALUE"""),372.48)</f>
        <v>372.48</v>
      </c>
    </row>
    <row r="14" spans="1:8">
      <c r="A14" s="8" t="str">
        <f ca="1">IFERROR(__xludf.DUMMYFUNCTION("""COMPUTED_VALUE"""),"AS-ID-DVC-F-CL-1")</f>
        <v>AS-ID-DVC-F-CL-1</v>
      </c>
      <c r="B14" s="8" t="str">
        <f ca="1">IFERROR(__xludf.DUMMYFUNCTION("""COMPUTED_VALUE"""),"Annual Plan AS-ID-DVC-F-CL-1")</f>
        <v>Annual Plan AS-ID-DVC-F-CL-1</v>
      </c>
      <c r="C14" s="9" t="str">
        <f ca="1">IFERROR(__xludf.DUMMYFUNCTION("""COMPUTED_VALUE"""),"Device ID")</f>
        <v>Device ID</v>
      </c>
      <c r="D14" s="8" t="str">
        <f ca="1">IFERROR(__xludf.DUMMYFUNCTION("""COMPUTED_VALUE"""),"Recurring")</f>
        <v>Recurring</v>
      </c>
      <c r="E14" s="9" t="str">
        <f ca="1">IFERROR(__xludf.DUMMYFUNCTION("""COMPUTED_VALUE"""),"Single additional Device ID (for use with an Omni-F cloud subscription)")</f>
        <v>Single additional Device ID (for use with an Omni-F cloud subscription)</v>
      </c>
      <c r="F14" s="10" t="str">
        <f ca="1">IFERROR(__xludf.DUMMYFUNCTION("""COMPUTED_VALUE"""),"CAD")</f>
        <v>CAD</v>
      </c>
      <c r="G14" s="10">
        <f ca="1">IFERROR(__xludf.DUMMYFUNCTION("""COMPUTED_VALUE"""),10.98)</f>
        <v>10.98</v>
      </c>
      <c r="H14" s="10">
        <f ca="1">IFERROR(__xludf.DUMMYFUNCTION("""COMPUTED_VALUE"""),131.76)</f>
        <v>131.76</v>
      </c>
    </row>
    <row r="15" spans="1:8">
      <c r="A15" s="8" t="str">
        <f ca="1">IFERROR(__xludf.DUMMYFUNCTION("""COMPUTED_VALUE"""),"AS-ID-DVC-F-OP-1")</f>
        <v>AS-ID-DVC-F-OP-1</v>
      </c>
      <c r="B15" s="8" t="str">
        <f ca="1">IFERROR(__xludf.DUMMYFUNCTION("""COMPUTED_VALUE"""),"Annual Plan AS-ID-DVC-F-OP-1")</f>
        <v>Annual Plan AS-ID-DVC-F-OP-1</v>
      </c>
      <c r="C15" s="9" t="str">
        <f ca="1">IFERROR(__xludf.DUMMYFUNCTION("""COMPUTED_VALUE"""),"Device ID")</f>
        <v>Device ID</v>
      </c>
      <c r="D15" s="8" t="str">
        <f ca="1">IFERROR(__xludf.DUMMYFUNCTION("""COMPUTED_VALUE"""),"Recurring")</f>
        <v>Recurring</v>
      </c>
      <c r="E15" s="9" t="str">
        <f ca="1">IFERROR(__xludf.DUMMYFUNCTION("""COMPUTED_VALUE"""),"Single additional Device ID (for use with an Omni-F on-prem subscription)")</f>
        <v>Single additional Device ID (for use with an Omni-F on-prem subscription)</v>
      </c>
      <c r="F15" s="10" t="str">
        <f ca="1">IFERROR(__xludf.DUMMYFUNCTION("""COMPUTED_VALUE"""),"CAD")</f>
        <v>CAD</v>
      </c>
      <c r="G15" s="10">
        <f ca="1">IFERROR(__xludf.DUMMYFUNCTION("""COMPUTED_VALUE"""),21.95)</f>
        <v>21.95</v>
      </c>
      <c r="H15" s="10">
        <f ca="1">IFERROR(__xludf.DUMMYFUNCTION("""COMPUTED_VALUE"""),263.4)</f>
        <v>263.39999999999998</v>
      </c>
    </row>
    <row r="16" spans="1:8">
      <c r="A16" s="8" t="str">
        <f ca="1">IFERROR(__xludf.DUMMYFUNCTION("""COMPUTED_VALUE"""),"AS-ID-DVC-F-PV-1")</f>
        <v>AS-ID-DVC-F-PV-1</v>
      </c>
      <c r="B16" s="8" t="str">
        <f ca="1">IFERROR(__xludf.DUMMYFUNCTION("""COMPUTED_VALUE"""),"Annual Plan AS-ID-DVC-F-PV-1")</f>
        <v>Annual Plan AS-ID-DVC-F-PV-1</v>
      </c>
      <c r="C16" s="9" t="str">
        <f ca="1">IFERROR(__xludf.DUMMYFUNCTION("""COMPUTED_VALUE"""),"Device ID")</f>
        <v>Device ID</v>
      </c>
      <c r="D16" s="8" t="str">
        <f ca="1">IFERROR(__xludf.DUMMYFUNCTION("""COMPUTED_VALUE"""),"Recurring")</f>
        <v>Recurring</v>
      </c>
      <c r="E16" s="9" t="str">
        <f ca="1">IFERROR(__xludf.DUMMYFUNCTION("""COMPUTED_VALUE"""),"Single additional Device ID (for use with an Omni-F private cloud subscription)")</f>
        <v>Single additional Device ID (for use with an Omni-F private cloud subscription)</v>
      </c>
      <c r="F16" s="10" t="str">
        <f ca="1">IFERROR(__xludf.DUMMYFUNCTION("""COMPUTED_VALUE"""),"CAD")</f>
        <v>CAD</v>
      </c>
      <c r="G16" s="10">
        <f ca="1">IFERROR(__xludf.DUMMYFUNCTION("""COMPUTED_VALUE"""),16.47)</f>
        <v>16.47</v>
      </c>
      <c r="H16" s="10">
        <f ca="1">IFERROR(__xludf.DUMMYFUNCTION("""COMPUTED_VALUE"""),197.64)</f>
        <v>197.64</v>
      </c>
    </row>
    <row r="17" spans="1:8">
      <c r="A17" s="8" t="str">
        <f ca="1">IFERROR(__xludf.DUMMYFUNCTION("""COMPUTED_VALUE"""),"AS-ID-DVC-OP-1")</f>
        <v>AS-ID-DVC-OP-1</v>
      </c>
      <c r="B17" s="8" t="str">
        <f ca="1">IFERROR(__xludf.DUMMYFUNCTION("""COMPUTED_VALUE"""),"Annual Plan AS-ID-DVC-OP-1")</f>
        <v>Annual Plan AS-ID-DVC-OP-1</v>
      </c>
      <c r="C17" s="9" t="str">
        <f ca="1">IFERROR(__xludf.DUMMYFUNCTION("""COMPUTED_VALUE"""),"Device ID")</f>
        <v>Device ID</v>
      </c>
      <c r="D17" s="8" t="str">
        <f ca="1">IFERROR(__xludf.DUMMYFUNCTION("""COMPUTED_VALUE"""),"Recurring")</f>
        <v>Recurring</v>
      </c>
      <c r="E17" s="9" t="str">
        <f ca="1">IFERROR(__xludf.DUMMYFUNCTION("""COMPUTED_VALUE"""),"Single additional Device ID (for use with an on-prem subscription)")</f>
        <v>Single additional Device ID (for use with an on-prem subscription)</v>
      </c>
      <c r="F17" s="10" t="str">
        <f ca="1">IFERROR(__xludf.DUMMYFUNCTION("""COMPUTED_VALUE"""),"CAD")</f>
        <v>CAD</v>
      </c>
      <c r="G17" s="10">
        <f ca="1">IFERROR(__xludf.DUMMYFUNCTION("""COMPUTED_VALUE"""),62.07)</f>
        <v>62.07</v>
      </c>
      <c r="H17" s="10">
        <f ca="1">IFERROR(__xludf.DUMMYFUNCTION("""COMPUTED_VALUE"""),744.84)</f>
        <v>744.84</v>
      </c>
    </row>
    <row r="18" spans="1:8">
      <c r="A18" s="8" t="str">
        <f ca="1">IFERROR(__xludf.DUMMYFUNCTION("""COMPUTED_VALUE"""),"AS-ID-DVC-PV-1")</f>
        <v>AS-ID-DVC-PV-1</v>
      </c>
      <c r="B18" s="8" t="str">
        <f ca="1">IFERROR(__xludf.DUMMYFUNCTION("""COMPUTED_VALUE"""),"Annual Plan AS-ID-DVC-PV-1")</f>
        <v>Annual Plan AS-ID-DVC-PV-1</v>
      </c>
      <c r="C18" s="9" t="str">
        <f ca="1">IFERROR(__xludf.DUMMYFUNCTION("""COMPUTED_VALUE"""),"Device ID")</f>
        <v>Device ID</v>
      </c>
      <c r="D18" s="8" t="str">
        <f ca="1">IFERROR(__xludf.DUMMYFUNCTION("""COMPUTED_VALUE"""),"Recurring")</f>
        <v>Recurring</v>
      </c>
      <c r="E18" s="9" t="str">
        <f ca="1">IFERROR(__xludf.DUMMYFUNCTION("""COMPUTED_VALUE"""),"Single additional Device ID (for use with a private cloud subscription)")</f>
        <v>Single additional Device ID (for use with a private cloud subscription)</v>
      </c>
      <c r="F18" s="10" t="str">
        <f ca="1">IFERROR(__xludf.DUMMYFUNCTION("""COMPUTED_VALUE"""),"CAD")</f>
        <v>CAD</v>
      </c>
      <c r="G18" s="10">
        <f ca="1">IFERROR(__xludf.DUMMYFUNCTION("""COMPUTED_VALUE"""),46.55)</f>
        <v>46.55</v>
      </c>
      <c r="H18" s="10">
        <f ca="1">IFERROR(__xludf.DUMMYFUNCTION("""COMPUTED_VALUE"""),558.6)</f>
        <v>558.6</v>
      </c>
    </row>
    <row r="19" spans="1:8">
      <c r="A19" s="8" t="str">
        <f ca="1">IFERROR(__xludf.DUMMYFUNCTION("""COMPUTED_VALUE"""),"AS-IG-AH-1UL")</f>
        <v>AS-IG-AH-1UL</v>
      </c>
      <c r="B19" s="8" t="str">
        <f ca="1">IFERROR(__xludf.DUMMYFUNCTION("""COMPUTED_VALUE"""),"Quarterly Plan AS-IG-AH-1UL")</f>
        <v>Quarterly Plan AS-IG-AH-1UL</v>
      </c>
      <c r="C19" s="9" t="str">
        <f ca="1">IFERROR(__xludf.DUMMYFUNCTION("""COMPUTED_VALUE"""),"Igloo License")</f>
        <v>Igloo License</v>
      </c>
      <c r="D19" s="8" t="str">
        <f ca="1">IFERROR(__xludf.DUMMYFUNCTION("""COMPUTED_VALUE"""),"Recurring")</f>
        <v>Recurring</v>
      </c>
      <c r="E19" s="9" t="str">
        <f ca="1">IFERROR(__xludf.DUMMYFUNCTION("""COMPUTED_VALUE"""),"Authorized User Licenses")</f>
        <v>Authorized User Licenses</v>
      </c>
      <c r="F19" s="10" t="str">
        <f ca="1">IFERROR(__xludf.DUMMYFUNCTION("""COMPUTED_VALUE"""),"CAD")</f>
        <v>CAD</v>
      </c>
      <c r="G19" s="10">
        <f ca="1">IFERROR(__xludf.DUMMYFUNCTION("""COMPUTED_VALUE"""),9.08)</f>
        <v>9.08</v>
      </c>
      <c r="H19" s="10">
        <f ca="1">IFERROR(__xludf.DUMMYFUNCTION("""COMPUTED_VALUE"""),108.96)</f>
        <v>108.96</v>
      </c>
    </row>
    <row r="20" spans="1:8">
      <c r="A20" s="8" t="str">
        <f ca="1">IFERROR(__xludf.DUMMYFUNCTION("""COMPUTED_VALUE"""),"AS-IG-AH-1UL")</f>
        <v>AS-IG-AH-1UL</v>
      </c>
      <c r="B20" s="8" t="str">
        <f ca="1">IFERROR(__xludf.DUMMYFUNCTION("""COMPUTED_VALUE"""),"Annual Plan AS-IG-AH-1UL")</f>
        <v>Annual Plan AS-IG-AH-1UL</v>
      </c>
      <c r="C20" s="9" t="str">
        <f ca="1">IFERROR(__xludf.DUMMYFUNCTION("""COMPUTED_VALUE"""),"Igloo License")</f>
        <v>Igloo License</v>
      </c>
      <c r="D20" s="8" t="str">
        <f ca="1">IFERROR(__xludf.DUMMYFUNCTION("""COMPUTED_VALUE"""),"Recurring")</f>
        <v>Recurring</v>
      </c>
      <c r="E20" s="9" t="str">
        <f ca="1">IFERROR(__xludf.DUMMYFUNCTION("""COMPUTED_VALUE"""),"Authorized User Licenses")</f>
        <v>Authorized User Licenses</v>
      </c>
      <c r="F20" s="8" t="str">
        <f ca="1">IFERROR(__xludf.DUMMYFUNCTION("""COMPUTED_VALUE"""),"CAD")</f>
        <v>CAD</v>
      </c>
      <c r="G20" s="10">
        <f ca="1">IFERROR(__xludf.DUMMYFUNCTION("""COMPUTED_VALUE"""),9.08)</f>
        <v>9.08</v>
      </c>
      <c r="H20" s="10">
        <f ca="1">IFERROR(__xludf.DUMMYFUNCTION("""COMPUTED_VALUE"""),108.96)</f>
        <v>108.96</v>
      </c>
    </row>
    <row r="21" spans="1:8">
      <c r="A21" s="8" t="str">
        <f ca="1">IFERROR(__xludf.DUMMYFUNCTION("""COMPUTED_VALUE"""),"AS-IG-AH-1UL")</f>
        <v>AS-IG-AH-1UL</v>
      </c>
      <c r="B21" s="8" t="str">
        <f ca="1">IFERROR(__xludf.DUMMYFUNCTION("""COMPUTED_VALUE"""),"Monthly Plan AS-IG-AH-1UL")</f>
        <v>Monthly Plan AS-IG-AH-1UL</v>
      </c>
      <c r="C21" s="9" t="str">
        <f ca="1">IFERROR(__xludf.DUMMYFUNCTION("""COMPUTED_VALUE"""),"Igloo License")</f>
        <v>Igloo License</v>
      </c>
      <c r="D21" s="8" t="str">
        <f ca="1">IFERROR(__xludf.DUMMYFUNCTION("""COMPUTED_VALUE"""),"Recurring")</f>
        <v>Recurring</v>
      </c>
      <c r="E21" s="9" t="str">
        <f ca="1">IFERROR(__xludf.DUMMYFUNCTION("""COMPUTED_VALUE"""),"Authorized User Licenses")</f>
        <v>Authorized User Licenses</v>
      </c>
      <c r="F21" s="10" t="str">
        <f ca="1">IFERROR(__xludf.DUMMYFUNCTION("""COMPUTED_VALUE"""),"CAD")</f>
        <v>CAD</v>
      </c>
      <c r="G21" s="10">
        <f ca="1">IFERROR(__xludf.DUMMYFUNCTION("""COMPUTED_VALUE"""),9.08)</f>
        <v>9.08</v>
      </c>
      <c r="H21" s="10">
        <f ca="1">IFERROR(__xludf.DUMMYFUNCTION("""COMPUTED_VALUE"""),108.96)</f>
        <v>108.96</v>
      </c>
    </row>
    <row r="22" spans="1:8">
      <c r="A22" s="8" t="str">
        <f ca="1">IFERROR(__xludf.DUMMYFUNCTION("""COMPUTED_VALUE"""),"AS-IG-AO-B-BHAS")</f>
        <v>AS-IG-AO-B-BHAS</v>
      </c>
      <c r="B22" s="8" t="str">
        <f ca="1">IFERROR(__xludf.DUMMYFUNCTION("""COMPUTED_VALUE"""),"Quarterly Plan AS-IG-AO-B-BHAS")</f>
        <v>Quarterly Plan AS-IG-AO-B-BHAS</v>
      </c>
      <c r="C22" s="9" t="str">
        <f ca="1">IFERROR(__xludf.DUMMYFUNCTION("""COMPUTED_VALUE"""),"Basic Hub and Spoke")</f>
        <v>Basic Hub and Spoke</v>
      </c>
      <c r="D22" s="8" t="str">
        <f ca="1">IFERROR(__xludf.DUMMYFUNCTION("""COMPUTED_VALUE"""),"Recurring")</f>
        <v>Recurring</v>
      </c>
      <c r="E22" s="9" t="str">
        <f ca="1">IFERROR(__xludf.DUMMYFUNCTION("""COMPUTED_VALUE"""),"Basic Hub and Spoke Architecture")</f>
        <v>Basic Hub and Spoke Architecture</v>
      </c>
      <c r="F22" s="10" t="str">
        <f ca="1">IFERROR(__xludf.DUMMYFUNCTION("""COMPUTED_VALUE"""),"CAD")</f>
        <v>CAD</v>
      </c>
      <c r="G22" s="10">
        <f ca="1">IFERROR(__xludf.DUMMYFUNCTION("""COMPUTED_VALUE"""),3154)</f>
        <v>3154</v>
      </c>
      <c r="H22" s="10">
        <f ca="1">IFERROR(__xludf.DUMMYFUNCTION("""COMPUTED_VALUE"""),37848)</f>
        <v>37848</v>
      </c>
    </row>
    <row r="23" spans="1:8">
      <c r="A23" s="8" t="str">
        <f ca="1">IFERROR(__xludf.DUMMYFUNCTION("""COMPUTED_VALUE"""),"AS-IG-AO-B-HHAS")</f>
        <v>AS-IG-AO-B-HHAS</v>
      </c>
      <c r="B23" s="8" t="str">
        <f ca="1">IFERROR(__xludf.DUMMYFUNCTION("""COMPUTED_VALUE"""),"Quarterly Plan AS-IG-AO-B-HHAS")</f>
        <v>Quarterly Plan AS-IG-AO-B-HHAS</v>
      </c>
      <c r="C23" s="9" t="str">
        <f ca="1">IFERROR(__xludf.DUMMYFUNCTION("""COMPUTED_VALUE"""),"Networked Enterprise")</f>
        <v>Networked Enterprise</v>
      </c>
      <c r="D23" s="8" t="str">
        <f ca="1">IFERROR(__xludf.DUMMYFUNCTION("""COMPUTED_VALUE"""),"Recurring")</f>
        <v>Recurring</v>
      </c>
      <c r="E23" s="9" t="str">
        <f ca="1">IFERROR(__xludf.DUMMYFUNCTION("""COMPUTED_VALUE"""),"Networked Enterprise")</f>
        <v>Networked Enterprise</v>
      </c>
      <c r="F23" s="10" t="str">
        <f ca="1">IFERROR(__xludf.DUMMYFUNCTION("""COMPUTED_VALUE"""),"CAD")</f>
        <v>CAD</v>
      </c>
      <c r="G23" s="10">
        <f ca="1">IFERROR(__xludf.DUMMYFUNCTION("""COMPUTED_VALUE"""),227091)</f>
        <v>227091</v>
      </c>
      <c r="H23" s="10">
        <f ca="1">IFERROR(__xludf.DUMMYFUNCTION("""COMPUTED_VALUE"""),2725092)</f>
        <v>2725092</v>
      </c>
    </row>
    <row r="24" spans="1:8">
      <c r="A24" s="8" t="str">
        <f ca="1">IFERROR(__xludf.DUMMYFUNCTION("""COMPUTED_VALUE"""),"AS-IG-AO-B-HHAS")</f>
        <v>AS-IG-AO-B-HHAS</v>
      </c>
      <c r="B24" s="8" t="str">
        <f ca="1">IFERROR(__xludf.DUMMYFUNCTION("""COMPUTED_VALUE"""),"Annual Plan AS-IG-AO-B-HHAS")</f>
        <v>Annual Plan AS-IG-AO-B-HHAS</v>
      </c>
      <c r="C24" s="9" t="str">
        <f ca="1">IFERROR(__xludf.DUMMYFUNCTION("""COMPUTED_VALUE"""),"Networked Enterprise")</f>
        <v>Networked Enterprise</v>
      </c>
      <c r="D24" s="8" t="str">
        <f ca="1">IFERROR(__xludf.DUMMYFUNCTION("""COMPUTED_VALUE"""),"Recurring")</f>
        <v>Recurring</v>
      </c>
      <c r="E24" s="9" t="str">
        <f ca="1">IFERROR(__xludf.DUMMYFUNCTION("""COMPUTED_VALUE"""),"Networked Enterprise")</f>
        <v>Networked Enterprise</v>
      </c>
      <c r="F24" s="10" t="str">
        <f ca="1">IFERROR(__xludf.DUMMYFUNCTION("""COMPUTED_VALUE"""),"CAD")</f>
        <v>CAD</v>
      </c>
      <c r="G24" s="10">
        <f ca="1">IFERROR(__xludf.DUMMYFUNCTION("""COMPUTED_VALUE"""),227091)</f>
        <v>227091</v>
      </c>
      <c r="H24" s="10">
        <f ca="1">IFERROR(__xludf.DUMMYFUNCTION("""COMPUTED_VALUE"""),2725092)</f>
        <v>2725092</v>
      </c>
    </row>
    <row r="25" spans="1:8">
      <c r="A25" s="8" t="str">
        <f ca="1">IFERROR(__xludf.DUMMYFUNCTION("""COMPUTED_VALUE"""),"AS-IG-AO-B-HHASA")</f>
        <v>AS-IG-AO-B-HHASA</v>
      </c>
      <c r="B25" s="8" t="str">
        <f ca="1">IFERROR(__xludf.DUMMYFUNCTION("""COMPUTED_VALUE"""),"Quarterly Plan AS-IG-AO-B-HHASA")</f>
        <v>Quarterly Plan AS-IG-AO-B-HHASA</v>
      </c>
      <c r="C25" s="9" t="str">
        <f ca="1">IFERROR(__xludf.DUMMYFUNCTION("""COMPUTED_VALUE"""),"Additional Spokes")</f>
        <v>Additional Spokes</v>
      </c>
      <c r="D25" s="8" t="str">
        <f ca="1">IFERROR(__xludf.DUMMYFUNCTION("""COMPUTED_VALUE"""),"Recurring")</f>
        <v>Recurring</v>
      </c>
      <c r="E25" s="9" t="str">
        <f ca="1">IFERROR(__xludf.DUMMYFUNCTION("""COMPUTED_VALUE"""),"Hub and Spoke - Additional Spokes")</f>
        <v>Hub and Spoke - Additional Spokes</v>
      </c>
      <c r="F25" s="10" t="str">
        <f ca="1">IFERROR(__xludf.DUMMYFUNCTION("""COMPUTED_VALUE"""),"CAD")</f>
        <v>CAD</v>
      </c>
      <c r="G25" s="10">
        <f ca="1">IFERROR(__xludf.DUMMYFUNCTION("""COMPUTED_VALUE"""),7570)</f>
        <v>7570</v>
      </c>
      <c r="H25" s="10">
        <f ca="1">IFERROR(__xludf.DUMMYFUNCTION("""COMPUTED_VALUE"""),90840)</f>
        <v>90840</v>
      </c>
    </row>
    <row r="26" spans="1:8">
      <c r="A26" s="8" t="str">
        <f ca="1">IFERROR(__xludf.DUMMYFUNCTION("""COMPUTED_VALUE"""),"AS-IG-AO-B-HHASA")</f>
        <v>AS-IG-AO-B-HHASA</v>
      </c>
      <c r="B26" s="8" t="str">
        <f ca="1">IFERROR(__xludf.DUMMYFUNCTION("""COMPUTED_VALUE"""),"Annual Plan AS-IG-AO-B-HHASA")</f>
        <v>Annual Plan AS-IG-AO-B-HHASA</v>
      </c>
      <c r="C26" s="9" t="str">
        <f ca="1">IFERROR(__xludf.DUMMYFUNCTION("""COMPUTED_VALUE"""),"Additional Spokes")</f>
        <v>Additional Spokes</v>
      </c>
      <c r="D26" s="8" t="str">
        <f ca="1">IFERROR(__xludf.DUMMYFUNCTION("""COMPUTED_VALUE"""),"Recurring")</f>
        <v>Recurring</v>
      </c>
      <c r="E26" s="9" t="str">
        <f ca="1">IFERROR(__xludf.DUMMYFUNCTION("""COMPUTED_VALUE"""),"Hub and Spoke - Additional Spokes")</f>
        <v>Hub and Spoke - Additional Spokes</v>
      </c>
      <c r="F26" s="10" t="str">
        <f ca="1">IFERROR(__xludf.DUMMYFUNCTION("""COMPUTED_VALUE"""),"CAD")</f>
        <v>CAD</v>
      </c>
      <c r="G26" s="10">
        <f ca="1">IFERROR(__xludf.DUMMYFUNCTION("""COMPUTED_VALUE"""),7570)</f>
        <v>7570</v>
      </c>
      <c r="H26" s="10">
        <f ca="1">IFERROR(__xludf.DUMMYFUNCTION("""COMPUTED_VALUE"""),90840)</f>
        <v>90840</v>
      </c>
    </row>
    <row r="27" spans="1:8">
      <c r="A27" s="8" t="str">
        <f ca="1">IFERROR(__xludf.DUMMYFUNCTION("""COMPUTED_VALUE"""),"AS-IG-AO-B-HIPAA")</f>
        <v>AS-IG-AO-B-HIPAA</v>
      </c>
      <c r="B27" s="8" t="str">
        <f ca="1">IFERROR(__xludf.DUMMYFUNCTION("""COMPUTED_VALUE"""),"Quarterly Plan AS-IG-AO-B-HIPAA")</f>
        <v>Quarterly Plan AS-IG-AO-B-HIPAA</v>
      </c>
      <c r="C27" s="9" t="str">
        <f ca="1">IFERROR(__xludf.DUMMYFUNCTION("""COMPUTED_VALUE"""),"Security HIPAA")</f>
        <v>Security HIPAA</v>
      </c>
      <c r="D27" s="8" t="str">
        <f ca="1">IFERROR(__xludf.DUMMYFUNCTION("""COMPUTED_VALUE"""),"Recurring")</f>
        <v>Recurring</v>
      </c>
      <c r="E27" s="9" t="str">
        <f ca="1">IFERROR(__xludf.DUMMYFUNCTION("""COMPUTED_VALUE"""),"HIPAA Security Package")</f>
        <v>HIPAA Security Package</v>
      </c>
      <c r="F27" s="10" t="str">
        <f ca="1">IFERROR(__xludf.DUMMYFUNCTION("""COMPUTED_VALUE"""),"CAD")</f>
        <v>CAD</v>
      </c>
      <c r="G27" s="10">
        <f ca="1">IFERROR(__xludf.DUMMYFUNCTION("""COMPUTED_VALUE"""),1262)</f>
        <v>1262</v>
      </c>
      <c r="H27" s="10">
        <f ca="1">IFERROR(__xludf.DUMMYFUNCTION("""COMPUTED_VALUE"""),15144)</f>
        <v>15144</v>
      </c>
    </row>
    <row r="28" spans="1:8">
      <c r="A28" s="8" t="str">
        <f ca="1">IFERROR(__xludf.DUMMYFUNCTION("""COMPUTED_VALUE"""),"AS-IG-AO-B-HIPAA")</f>
        <v>AS-IG-AO-B-HIPAA</v>
      </c>
      <c r="B28" s="8" t="str">
        <f ca="1">IFERROR(__xludf.DUMMYFUNCTION("""COMPUTED_VALUE"""),"Annual Plan AS-IG-AO-B-HIPAA")</f>
        <v>Annual Plan AS-IG-AO-B-HIPAA</v>
      </c>
      <c r="C28" s="9" t="str">
        <f ca="1">IFERROR(__xludf.DUMMYFUNCTION("""COMPUTED_VALUE"""),"Security HIPAA")</f>
        <v>Security HIPAA</v>
      </c>
      <c r="D28" s="8" t="str">
        <f ca="1">IFERROR(__xludf.DUMMYFUNCTION("""COMPUTED_VALUE"""),"Recurring")</f>
        <v>Recurring</v>
      </c>
      <c r="E28" s="9" t="str">
        <f ca="1">IFERROR(__xludf.DUMMYFUNCTION("""COMPUTED_VALUE"""),"HIPAA Security Package")</f>
        <v>HIPAA Security Package</v>
      </c>
      <c r="F28" s="10" t="str">
        <f ca="1">IFERROR(__xludf.DUMMYFUNCTION("""COMPUTED_VALUE"""),"CAD")</f>
        <v>CAD</v>
      </c>
      <c r="G28" s="10">
        <f ca="1">IFERROR(__xludf.DUMMYFUNCTION("""COMPUTED_VALUE"""),1262)</f>
        <v>1262</v>
      </c>
      <c r="H28" s="10">
        <f ca="1">IFERROR(__xludf.DUMMYFUNCTION("""COMPUTED_VALUE"""),15144)</f>
        <v>15144</v>
      </c>
    </row>
    <row r="29" spans="1:8">
      <c r="A29" s="8" t="str">
        <f ca="1">IFERROR(__xludf.DUMMYFUNCTION("""COMPUTED_VALUE"""),"AS-IG-AO-B-HSTSS")</f>
        <v>AS-IG-AO-B-HSTSS</v>
      </c>
      <c r="B29" s="8" t="str">
        <f ca="1">IFERROR(__xludf.DUMMYFUNCTION("""COMPUTED_VALUE"""),"Quarterly Plan AS-IG-AO-B-HSTSS")</f>
        <v>Quarterly Plan AS-IG-AO-B-HSTSS</v>
      </c>
      <c r="C29" s="9" t="str">
        <f ca="1">IFERROR(__xludf.DUMMYFUNCTION("""COMPUTED_VALUE"""),"Single Tenant - Shared Services")</f>
        <v>Single Tenant - Shared Services</v>
      </c>
      <c r="D29" s="8" t="str">
        <f ca="1">IFERROR(__xludf.DUMMYFUNCTION("""COMPUTED_VALUE"""),"Recurring")</f>
        <v>Recurring</v>
      </c>
      <c r="E29" s="9" t="str">
        <f ca="1">IFERROR(__xludf.DUMMYFUNCTION("""COMPUTED_VALUE"""),"Single Tenant with Shared Services")</f>
        <v>Single Tenant with Shared Services</v>
      </c>
      <c r="F29" s="10" t="str">
        <f ca="1">IFERROR(__xludf.DUMMYFUNCTION("""COMPUTED_VALUE"""),"CAD")</f>
        <v>CAD</v>
      </c>
      <c r="G29" s="8">
        <f ca="1">IFERROR(__xludf.DUMMYFUNCTION("""COMPUTED_VALUE"""),113546)</f>
        <v>113546</v>
      </c>
      <c r="H29" s="10">
        <f ca="1">IFERROR(__xludf.DUMMYFUNCTION("""COMPUTED_VALUE"""),1362552)</f>
        <v>1362552</v>
      </c>
    </row>
    <row r="30" spans="1:8">
      <c r="A30" s="8" t="str">
        <f ca="1">IFERROR(__xludf.DUMMYFUNCTION("""COMPUTED_VALUE"""),"AS-IG-AO-B-HSTSS")</f>
        <v>AS-IG-AO-B-HSTSS</v>
      </c>
      <c r="B30" s="8" t="str">
        <f ca="1">IFERROR(__xludf.DUMMYFUNCTION("""COMPUTED_VALUE"""),"Annual Plan AS-IG-AO-B-HSTSS")</f>
        <v>Annual Plan AS-IG-AO-B-HSTSS</v>
      </c>
      <c r="C30" s="9" t="str">
        <f ca="1">IFERROR(__xludf.DUMMYFUNCTION("""COMPUTED_VALUE"""),"Single Tenant - Shared Services")</f>
        <v>Single Tenant - Shared Services</v>
      </c>
      <c r="D30" s="8" t="str">
        <f ca="1">IFERROR(__xludf.DUMMYFUNCTION("""COMPUTED_VALUE"""),"Recurring")</f>
        <v>Recurring</v>
      </c>
      <c r="E30" s="9" t="str">
        <f ca="1">IFERROR(__xludf.DUMMYFUNCTION("""COMPUTED_VALUE"""),"Single Tenant with Shared Services")</f>
        <v>Single Tenant with Shared Services</v>
      </c>
      <c r="F30" s="10" t="str">
        <f ca="1">IFERROR(__xludf.DUMMYFUNCTION("""COMPUTED_VALUE"""),"CAD")</f>
        <v>CAD</v>
      </c>
      <c r="G30" s="10">
        <f ca="1">IFERROR(__xludf.DUMMYFUNCTION("""COMPUTED_VALUE"""),113546)</f>
        <v>113546</v>
      </c>
      <c r="H30" s="10">
        <f ca="1">IFERROR(__xludf.DUMMYFUNCTION("""COMPUTED_VALUE"""),1362552)</f>
        <v>1362552</v>
      </c>
    </row>
    <row r="31" spans="1:8">
      <c r="A31" s="8" t="str">
        <f ca="1">IFERROR(__xludf.DUMMYFUNCTION("""COMPUTED_VALUE"""),"AS-IG-AO-B-SSSTS")</f>
        <v>AS-IG-AO-B-SSSTS</v>
      </c>
      <c r="B31" s="8" t="str">
        <f ca="1">IFERROR(__xludf.DUMMYFUNCTION("""COMPUTED_VALUE"""),"Quarterly Plan AS-IG-AO-B-SSSTS")</f>
        <v>Quarterly Plan AS-IG-AO-B-SSSTS</v>
      </c>
      <c r="C31" s="9" t="str">
        <f ca="1">IFERROR(__xludf.DUMMYFUNCTION("""COMPUTED_VALUE"""),"Shared SST Site")</f>
        <v>Shared SST Site</v>
      </c>
      <c r="D31" s="8" t="str">
        <f ca="1">IFERROR(__xludf.DUMMYFUNCTION("""COMPUTED_VALUE"""),"Recurring")</f>
        <v>Recurring</v>
      </c>
      <c r="E31" s="9" t="str">
        <f ca="1">IFERROR(__xludf.DUMMYFUNCTION("""COMPUTED_VALUE"""),"Shared SST Site")</f>
        <v>Shared SST Site</v>
      </c>
      <c r="F31" s="10" t="str">
        <f ca="1">IFERROR(__xludf.DUMMYFUNCTION("""COMPUTED_VALUE"""),"CAD")</f>
        <v>CAD</v>
      </c>
      <c r="G31" s="10">
        <f ca="1">IFERROR(__xludf.DUMMYFUNCTION("""COMPUTED_VALUE"""),22709)</f>
        <v>22709</v>
      </c>
      <c r="H31" s="10">
        <f ca="1">IFERROR(__xludf.DUMMYFUNCTION("""COMPUTED_VALUE"""),272508)</f>
        <v>272508</v>
      </c>
    </row>
    <row r="32" spans="1:8">
      <c r="A32" s="8" t="str">
        <f ca="1">IFERROR(__xludf.DUMMYFUNCTION("""COMPUTED_VALUE"""),"AS-IG-AO-B-SSSTS")</f>
        <v>AS-IG-AO-B-SSSTS</v>
      </c>
      <c r="B32" s="8" t="str">
        <f ca="1">IFERROR(__xludf.DUMMYFUNCTION("""COMPUTED_VALUE"""),"Annual Plan AS-IG-AO-B-SSSTS")</f>
        <v>Annual Plan AS-IG-AO-B-SSSTS</v>
      </c>
      <c r="C32" s="9" t="str">
        <f ca="1">IFERROR(__xludf.DUMMYFUNCTION("""COMPUTED_VALUE"""),"Shared SST Site")</f>
        <v>Shared SST Site</v>
      </c>
      <c r="D32" s="8" t="str">
        <f ca="1">IFERROR(__xludf.DUMMYFUNCTION("""COMPUTED_VALUE"""),"Recurring")</f>
        <v>Recurring</v>
      </c>
      <c r="E32" s="9" t="str">
        <f ca="1">IFERROR(__xludf.DUMMYFUNCTION("""COMPUTED_VALUE"""),"Shared SST Site")</f>
        <v>Shared SST Site</v>
      </c>
      <c r="F32" s="10" t="str">
        <f ca="1">IFERROR(__xludf.DUMMYFUNCTION("""COMPUTED_VALUE"""),"CAD")</f>
        <v>CAD</v>
      </c>
      <c r="G32" s="10">
        <f ca="1">IFERROR(__xludf.DUMMYFUNCTION("""COMPUTED_VALUE"""),22709)</f>
        <v>22709</v>
      </c>
      <c r="H32" s="10">
        <f ca="1">IFERROR(__xludf.DUMMYFUNCTION("""COMPUTED_VALUE"""),272508)</f>
        <v>272508</v>
      </c>
    </row>
    <row r="33" spans="1:8">
      <c r="A33" s="8" t="str">
        <f ca="1">IFERROR(__xludf.DUMMYFUNCTION("""COMPUTED_VALUE"""),"AS-IG-AO-CIP")</f>
        <v>AS-IG-AO-CIP</v>
      </c>
      <c r="B33" s="8" t="str">
        <f ca="1">IFERROR(__xludf.DUMMYFUNCTION("""COMPUTED_VALUE"""),"Annual Plan AS-IG-AO-CIP")</f>
        <v>Annual Plan AS-IG-AO-CIP</v>
      </c>
      <c r="C33" s="9" t="str">
        <f ca="1">IFERROR(__xludf.DUMMYFUNCTION("""COMPUTED_VALUE"""),"Continuous Improvement Program")</f>
        <v>Continuous Improvement Program</v>
      </c>
      <c r="D33" s="8" t="str">
        <f ca="1">IFERROR(__xludf.DUMMYFUNCTION("""COMPUTED_VALUE"""),"Recurring")</f>
        <v>Recurring</v>
      </c>
      <c r="E33" s="9" t="str">
        <f ca="1">IFERROR(__xludf.DUMMYFUNCTION("""COMPUTED_VALUE"""),"Continuous Improvement Program")</f>
        <v>Continuous Improvement Program</v>
      </c>
      <c r="F33" s="10" t="str">
        <f ca="1">IFERROR(__xludf.DUMMYFUNCTION("""COMPUTED_VALUE"""),"CAD")</f>
        <v>CAD</v>
      </c>
      <c r="G33" s="10">
        <f ca="1">IFERROR(__xludf.DUMMYFUNCTION("""COMPUTED_VALUE"""),631)</f>
        <v>631</v>
      </c>
      <c r="H33" s="10">
        <f ca="1">IFERROR(__xludf.DUMMYFUNCTION("""COMPUTED_VALUE"""),7572)</f>
        <v>7572</v>
      </c>
    </row>
    <row r="34" spans="1:8">
      <c r="A34" s="8" t="str">
        <f ca="1">IFERROR(__xludf.DUMMYFUNCTION("""COMPUTED_VALUE"""),"AS-IG-AO-CIP")</f>
        <v>AS-IG-AO-CIP</v>
      </c>
      <c r="B34" s="8" t="str">
        <f ca="1">IFERROR(__xludf.DUMMYFUNCTION("""COMPUTED_VALUE"""),"Quarterly Plan AS-IG-AO-CIP")</f>
        <v>Quarterly Plan AS-IG-AO-CIP</v>
      </c>
      <c r="C34" s="9" t="str">
        <f ca="1">IFERROR(__xludf.DUMMYFUNCTION("""COMPUTED_VALUE"""),"Continuous Improvement Program")</f>
        <v>Continuous Improvement Program</v>
      </c>
      <c r="D34" s="8" t="str">
        <f ca="1">IFERROR(__xludf.DUMMYFUNCTION("""COMPUTED_VALUE"""),"Recurring")</f>
        <v>Recurring</v>
      </c>
      <c r="E34" s="9" t="str">
        <f ca="1">IFERROR(__xludf.DUMMYFUNCTION("""COMPUTED_VALUE"""),"Continuous Improvement Program")</f>
        <v>Continuous Improvement Program</v>
      </c>
      <c r="F34" s="10" t="str">
        <f ca="1">IFERROR(__xludf.DUMMYFUNCTION("""COMPUTED_VALUE"""),"CAD")</f>
        <v>CAD</v>
      </c>
      <c r="G34" s="8">
        <f ca="1">IFERROR(__xludf.DUMMYFUNCTION("""COMPUTED_VALUE"""),631)</f>
        <v>631</v>
      </c>
      <c r="H34" s="10">
        <f ca="1">IFERROR(__xludf.DUMMYFUNCTION("""COMPUTED_VALUE"""),7572)</f>
        <v>7572</v>
      </c>
    </row>
    <row r="35" spans="1:8">
      <c r="A35" s="8" t="str">
        <f ca="1">IFERROR(__xludf.DUMMYFUNCTION("""COMPUTED_VALUE"""),"AS-IG-AO-CS-TAM-E")</f>
        <v>AS-IG-AO-CS-TAM-E</v>
      </c>
      <c r="B35" s="8" t="str">
        <f ca="1">IFERROR(__xludf.DUMMYFUNCTION("""COMPUTED_VALUE"""),"Annual Plan AS-IG-AO-CS-TAM-E")</f>
        <v>Annual Plan AS-IG-AO-CS-TAM-E</v>
      </c>
      <c r="C35" s="9" t="str">
        <f ca="1">IFERROR(__xludf.DUMMYFUNCTION("""COMPUTED_VALUE"""),"TAM Enterprise")</f>
        <v>TAM Enterprise</v>
      </c>
      <c r="D35" s="8" t="str">
        <f ca="1">IFERROR(__xludf.DUMMYFUNCTION("""COMPUTED_VALUE"""),"Recurring")</f>
        <v>Recurring</v>
      </c>
      <c r="E35" s="9" t="str">
        <f ca="1">IFERROR(__xludf.DUMMYFUNCTION("""COMPUTED_VALUE"""),"Technical Account Manager - Enterprise")</f>
        <v>Technical Account Manager - Enterprise</v>
      </c>
      <c r="F35" s="10" t="str">
        <f ca="1">IFERROR(__xludf.DUMMYFUNCTION("""COMPUTED_VALUE"""),"CAD")</f>
        <v>CAD</v>
      </c>
      <c r="G35" s="8">
        <f ca="1">IFERROR(__xludf.DUMMYFUNCTION("""COMPUTED_VALUE"""),5046)</f>
        <v>5046</v>
      </c>
      <c r="H35" s="10">
        <f ca="1">IFERROR(__xludf.DUMMYFUNCTION("""COMPUTED_VALUE"""),60552)</f>
        <v>60552</v>
      </c>
    </row>
    <row r="36" spans="1:8">
      <c r="A36" s="8" t="str">
        <f ca="1">IFERROR(__xludf.DUMMYFUNCTION("""COMPUTED_VALUE"""),"AS-IG-AO-CS-TAM-E")</f>
        <v>AS-IG-AO-CS-TAM-E</v>
      </c>
      <c r="B36" s="8" t="str">
        <f ca="1">IFERROR(__xludf.DUMMYFUNCTION("""COMPUTED_VALUE"""),"Quarterly Plan AS-IG-AO-CS-TAM-E")</f>
        <v>Quarterly Plan AS-IG-AO-CS-TAM-E</v>
      </c>
      <c r="C36" s="9" t="str">
        <f ca="1">IFERROR(__xludf.DUMMYFUNCTION("""COMPUTED_VALUE"""),"TAM Enterprise")</f>
        <v>TAM Enterprise</v>
      </c>
      <c r="D36" s="8" t="str">
        <f ca="1">IFERROR(__xludf.DUMMYFUNCTION("""COMPUTED_VALUE"""),"Recurring")</f>
        <v>Recurring</v>
      </c>
      <c r="E36" s="9" t="str">
        <f ca="1">IFERROR(__xludf.DUMMYFUNCTION("""COMPUTED_VALUE"""),"Technical Account Manager - Enterprise")</f>
        <v>Technical Account Manager - Enterprise</v>
      </c>
      <c r="F36" s="10" t="str">
        <f ca="1">IFERROR(__xludf.DUMMYFUNCTION("""COMPUTED_VALUE"""),"CAD")</f>
        <v>CAD</v>
      </c>
      <c r="G36" s="10">
        <f ca="1">IFERROR(__xludf.DUMMYFUNCTION("""COMPUTED_VALUE"""),5046)</f>
        <v>5046</v>
      </c>
      <c r="H36" s="10">
        <f ca="1">IFERROR(__xludf.DUMMYFUNCTION("""COMPUTED_VALUE"""),60552)</f>
        <v>60552</v>
      </c>
    </row>
    <row r="37" spans="1:8">
      <c r="A37" s="8" t="str">
        <f ca="1">IFERROR(__xludf.DUMMYFUNCTION("""COMPUTED_VALUE"""),"AS-IG-AO-CS-TAMP")</f>
        <v>AS-IG-AO-CS-TAMP</v>
      </c>
      <c r="B37" s="8" t="str">
        <f ca="1">IFERROR(__xludf.DUMMYFUNCTION("""COMPUTED_VALUE"""),"Annual Plan AS-IG-AO-CS-TAMP")</f>
        <v>Annual Plan AS-IG-AO-CS-TAMP</v>
      </c>
      <c r="C37" s="9" t="str">
        <f ca="1">IFERROR(__xludf.DUMMYFUNCTION("""COMPUTED_VALUE"""),"TAM Professional")</f>
        <v>TAM Professional</v>
      </c>
      <c r="D37" s="8" t="str">
        <f ca="1">IFERROR(__xludf.DUMMYFUNCTION("""COMPUTED_VALUE"""),"Recurring")</f>
        <v>Recurring</v>
      </c>
      <c r="E37" s="9" t="str">
        <f ca="1">IFERROR(__xludf.DUMMYFUNCTION("""COMPUTED_VALUE"""),"Technical Account Manager (TAM) - Professional")</f>
        <v>Technical Account Manager (TAM) - Professional</v>
      </c>
      <c r="F37" s="10" t="str">
        <f ca="1">IFERROR(__xludf.DUMMYFUNCTION("""COMPUTED_VALUE"""),"CAD")</f>
        <v>CAD</v>
      </c>
      <c r="G37" s="10">
        <f ca="1">IFERROR(__xludf.DUMMYFUNCTION("""COMPUTED_VALUE"""),2523)</f>
        <v>2523</v>
      </c>
      <c r="H37" s="10">
        <f ca="1">IFERROR(__xludf.DUMMYFUNCTION("""COMPUTED_VALUE"""),30276)</f>
        <v>30276</v>
      </c>
    </row>
    <row r="38" spans="1:8">
      <c r="A38" s="8" t="str">
        <f ca="1">IFERROR(__xludf.DUMMYFUNCTION("""COMPUTED_VALUE"""),"AS-IG-AO-CS-TAMP")</f>
        <v>AS-IG-AO-CS-TAMP</v>
      </c>
      <c r="B38" s="8" t="str">
        <f ca="1">IFERROR(__xludf.DUMMYFUNCTION("""COMPUTED_VALUE"""),"Quarterly Plan AS-IG-AO-CS-TAMP")</f>
        <v>Quarterly Plan AS-IG-AO-CS-TAMP</v>
      </c>
      <c r="C38" s="9" t="str">
        <f ca="1">IFERROR(__xludf.DUMMYFUNCTION("""COMPUTED_VALUE"""),"TAM Professional")</f>
        <v>TAM Professional</v>
      </c>
      <c r="D38" s="8" t="str">
        <f ca="1">IFERROR(__xludf.DUMMYFUNCTION("""COMPUTED_VALUE"""),"Recurring")</f>
        <v>Recurring</v>
      </c>
      <c r="E38" s="9" t="str">
        <f ca="1">IFERROR(__xludf.DUMMYFUNCTION("""COMPUTED_VALUE"""),"Technical Account Manager (TAM) - Professional")</f>
        <v>Technical Account Manager (TAM) - Professional</v>
      </c>
      <c r="F38" s="10" t="str">
        <f ca="1">IFERROR(__xludf.DUMMYFUNCTION("""COMPUTED_VALUE"""),"CAD")</f>
        <v>CAD</v>
      </c>
      <c r="G38" s="10">
        <f ca="1">IFERROR(__xludf.DUMMYFUNCTION("""COMPUTED_VALUE"""),2523)</f>
        <v>2523</v>
      </c>
      <c r="H38" s="10">
        <f ca="1">IFERROR(__xludf.DUMMYFUNCTION("""COMPUTED_VALUE"""),30276)</f>
        <v>30276</v>
      </c>
    </row>
    <row r="39" spans="1:8">
      <c r="A39" s="8" t="str">
        <f ca="1">IFERROR(__xludf.DUMMYFUNCTION("""COMPUTED_VALUE"""),"AS-IG-AO-GAD-DEP")</f>
        <v>AS-IG-AO-GAD-DEP</v>
      </c>
      <c r="B39" s="8" t="str">
        <f ca="1">IFERROR(__xludf.DUMMYFUNCTION("""COMPUTED_VALUE"""),"Quarterly Plan AS-IG-AO-GAD-DEP")</f>
        <v>Quarterly Plan AS-IG-AO-GAD-DEP</v>
      </c>
      <c r="C39" s="9" t="str">
        <f ca="1">IFERROR(__xludf.DUMMYFUNCTION("""COMPUTED_VALUE"""),"Gadget Depot")</f>
        <v>Gadget Depot</v>
      </c>
      <c r="D39" s="8" t="str">
        <f ca="1">IFERROR(__xludf.DUMMYFUNCTION("""COMPUTED_VALUE"""),"Recurring")</f>
        <v>Recurring</v>
      </c>
      <c r="E39" s="9" t="str">
        <f ca="1">IFERROR(__xludf.DUMMYFUNCTION("""COMPUTED_VALUE"""),"Gadget Depot")</f>
        <v>Gadget Depot</v>
      </c>
      <c r="F39" s="10" t="str">
        <f ca="1">IFERROR(__xludf.DUMMYFUNCTION("""COMPUTED_VALUE"""),"CAD")</f>
        <v>CAD</v>
      </c>
      <c r="G39" s="10">
        <f ca="1">IFERROR(__xludf.DUMMYFUNCTION("""COMPUTED_VALUE"""),7570)</f>
        <v>7570</v>
      </c>
      <c r="H39" s="10">
        <f ca="1">IFERROR(__xludf.DUMMYFUNCTION("""COMPUTED_VALUE"""),90840)</f>
        <v>90840</v>
      </c>
    </row>
    <row r="40" spans="1:8">
      <c r="A40" s="8" t="str">
        <f ca="1">IFERROR(__xludf.DUMMYFUNCTION("""COMPUTED_VALUE"""),"AS-IG-AO-GAD-DEP")</f>
        <v>AS-IG-AO-GAD-DEP</v>
      </c>
      <c r="B40" s="8" t="str">
        <f ca="1">IFERROR(__xludf.DUMMYFUNCTION("""COMPUTED_VALUE"""),"Annual Plan AS-IG-AO-GAD-DEP")</f>
        <v>Annual Plan AS-IG-AO-GAD-DEP</v>
      </c>
      <c r="C40" s="9" t="str">
        <f ca="1">IFERROR(__xludf.DUMMYFUNCTION("""COMPUTED_VALUE"""),"Gadget Depot")</f>
        <v>Gadget Depot</v>
      </c>
      <c r="D40" s="8" t="str">
        <f ca="1">IFERROR(__xludf.DUMMYFUNCTION("""COMPUTED_VALUE"""),"Recurring")</f>
        <v>Recurring</v>
      </c>
      <c r="E40" s="9" t="str">
        <f ca="1">IFERROR(__xludf.DUMMYFUNCTION("""COMPUTED_VALUE"""),"Gadget Depot")</f>
        <v>Gadget Depot</v>
      </c>
      <c r="F40" s="10" t="str">
        <f ca="1">IFERROR(__xludf.DUMMYFUNCTION("""COMPUTED_VALUE"""),"CAD")</f>
        <v>CAD</v>
      </c>
      <c r="G40" s="10">
        <f ca="1">IFERROR(__xludf.DUMMYFUNCTION("""COMPUTED_VALUE"""),7570)</f>
        <v>7570</v>
      </c>
      <c r="H40" s="10">
        <f ca="1">IFERROR(__xludf.DUMMYFUNCTION("""COMPUTED_VALUE"""),90840)</f>
        <v>90840</v>
      </c>
    </row>
    <row r="41" spans="1:8">
      <c r="A41" s="8" t="str">
        <f ca="1">IFERROR(__xludf.DUMMYFUNCTION("""COMPUTED_VALUE"""),"AS-IG-AO-GROUP-SPACES-500")</f>
        <v>AS-IG-AO-GROUP-SPACES-500</v>
      </c>
      <c r="B41" s="8" t="str">
        <f ca="1">IFERROR(__xludf.DUMMYFUNCTION("""COMPUTED_VALUE"""),"Annual Plan AS-IG-AO-GROUP-SPACES-500")</f>
        <v>Annual Plan AS-IG-AO-GROUP-SPACES-500</v>
      </c>
      <c r="C41" s="9" t="str">
        <f ca="1">IFERROR(__xludf.DUMMYFUNCTION("""COMPUTED_VALUE"""),"Additional Spaces (500)")</f>
        <v>Additional Spaces (500)</v>
      </c>
      <c r="D41" s="8" t="str">
        <f ca="1">IFERROR(__xludf.DUMMYFUNCTION("""COMPUTED_VALUE"""),"Recurring")</f>
        <v>Recurring</v>
      </c>
      <c r="E41" s="9" t="str">
        <f ca="1">IFERROR(__xludf.DUMMYFUNCTION("""COMPUTED_VALUE"""),"Additional Spaces - 500 Bundle")</f>
        <v>Additional Spaces - 500 Bundle</v>
      </c>
      <c r="F41" s="10" t="str">
        <f ca="1">IFERROR(__xludf.DUMMYFUNCTION("""COMPUTED_VALUE"""),"CAD")</f>
        <v>CAD</v>
      </c>
      <c r="G41" s="10">
        <f ca="1">IFERROR(__xludf.DUMMYFUNCTION("""COMPUTED_VALUE"""),378)</f>
        <v>378</v>
      </c>
      <c r="H41" s="10">
        <f ca="1">IFERROR(__xludf.DUMMYFUNCTION("""COMPUTED_VALUE"""),4536)</f>
        <v>4536</v>
      </c>
    </row>
    <row r="42" spans="1:8">
      <c r="A42" s="8" t="str">
        <f ca="1">IFERROR(__xludf.DUMMYFUNCTION("""COMPUTED_VALUE"""),"AS-IG-AO-GROUP-SPACES-500")</f>
        <v>AS-IG-AO-GROUP-SPACES-500</v>
      </c>
      <c r="B42" s="8" t="str">
        <f ca="1">IFERROR(__xludf.DUMMYFUNCTION("""COMPUTED_VALUE"""),"Quarterly Plan AS-IG-AO-GROUP-SPACES-500")</f>
        <v>Quarterly Plan AS-IG-AO-GROUP-SPACES-500</v>
      </c>
      <c r="C42" s="9" t="str">
        <f ca="1">IFERROR(__xludf.DUMMYFUNCTION("""COMPUTED_VALUE"""),"Additional Spaces (500)")</f>
        <v>Additional Spaces (500)</v>
      </c>
      <c r="D42" s="8" t="str">
        <f ca="1">IFERROR(__xludf.DUMMYFUNCTION("""COMPUTED_VALUE"""),"Recurring")</f>
        <v>Recurring</v>
      </c>
      <c r="E42" s="9" t="str">
        <f ca="1">IFERROR(__xludf.DUMMYFUNCTION("""COMPUTED_VALUE"""),"Additional Spaces - 500 Bundle")</f>
        <v>Additional Spaces - 500 Bundle</v>
      </c>
      <c r="F42" s="10" t="str">
        <f ca="1">IFERROR(__xludf.DUMMYFUNCTION("""COMPUTED_VALUE"""),"CAD")</f>
        <v>CAD</v>
      </c>
      <c r="G42" s="10">
        <f ca="1">IFERROR(__xludf.DUMMYFUNCTION("""COMPUTED_VALUE"""),378)</f>
        <v>378</v>
      </c>
      <c r="H42" s="10">
        <f ca="1">IFERROR(__xludf.DUMMYFUNCTION("""COMPUTED_VALUE"""),4536)</f>
        <v>4536</v>
      </c>
    </row>
    <row r="43" spans="1:8">
      <c r="A43" s="8" t="str">
        <f ca="1">IFERROR(__xludf.DUMMYFUNCTION("""COMPUTED_VALUE"""),"AS-IG-AO-IDA-BP")</f>
        <v>AS-IG-AO-IDA-BP</v>
      </c>
      <c r="B43" s="8" t="str">
        <f ca="1">IFERROR(__xludf.DUMMYFUNCTION("""COMPUTED_VALUE"""),"Quarterly Plan AS-IG-AO-IDA-BP")</f>
        <v>Quarterly Plan AS-IG-AO-IDA-BP</v>
      </c>
      <c r="C43" s="9" t="str">
        <f ca="1">IFERROR(__xludf.DUMMYFUNCTION("""COMPUTED_VALUE"""),"IDA Base")</f>
        <v>IDA Base</v>
      </c>
      <c r="D43" s="8" t="str">
        <f ca="1">IFERROR(__xludf.DUMMYFUNCTION("""COMPUTED_VALUE"""),"Recurring")</f>
        <v>Recurring</v>
      </c>
      <c r="E43" s="9" t="str">
        <f ca="1">IFERROR(__xludf.DUMMYFUNCTION("""COMPUTED_VALUE"""),"Igloo Igloo Digital Assistant - Base Package")</f>
        <v>Igloo Igloo Digital Assistant - Base Package</v>
      </c>
      <c r="F43" s="10" t="str">
        <f ca="1">IFERROR(__xludf.DUMMYFUNCTION("""COMPUTED_VALUE"""),"CAD")</f>
        <v>CAD</v>
      </c>
      <c r="G43" s="10">
        <f ca="1">IFERROR(__xludf.DUMMYFUNCTION("""COMPUTED_VALUE"""),0.76)</f>
        <v>0.76</v>
      </c>
      <c r="H43" s="10">
        <f ca="1">IFERROR(__xludf.DUMMYFUNCTION("""COMPUTED_VALUE"""),9.12)</f>
        <v>9.1199999999999992</v>
      </c>
    </row>
    <row r="44" spans="1:8">
      <c r="A44" s="8" t="str">
        <f ca="1">IFERROR(__xludf.DUMMYFUNCTION("""COMPUTED_VALUE"""),"AS-IG-AO-IDA-BP")</f>
        <v>AS-IG-AO-IDA-BP</v>
      </c>
      <c r="B44" s="8" t="str">
        <f ca="1">IFERROR(__xludf.DUMMYFUNCTION("""COMPUTED_VALUE"""),"Annual Plan AS-IG-AO-IDA-BP")</f>
        <v>Annual Plan AS-IG-AO-IDA-BP</v>
      </c>
      <c r="C44" s="9" t="str">
        <f ca="1">IFERROR(__xludf.DUMMYFUNCTION("""COMPUTED_VALUE"""),"IDA Base")</f>
        <v>IDA Base</v>
      </c>
      <c r="D44" s="8" t="str">
        <f ca="1">IFERROR(__xludf.DUMMYFUNCTION("""COMPUTED_VALUE"""),"Recurring")</f>
        <v>Recurring</v>
      </c>
      <c r="E44" s="9" t="str">
        <f ca="1">IFERROR(__xludf.DUMMYFUNCTION("""COMPUTED_VALUE"""),"Igloo Igloo Digital Assistant - Base Package")</f>
        <v>Igloo Igloo Digital Assistant - Base Package</v>
      </c>
      <c r="F44" s="10" t="str">
        <f ca="1">IFERROR(__xludf.DUMMYFUNCTION("""COMPUTED_VALUE"""),"CAD")</f>
        <v>CAD</v>
      </c>
      <c r="G44" s="8">
        <f ca="1">IFERROR(__xludf.DUMMYFUNCTION("""COMPUTED_VALUE"""),0.76)</f>
        <v>0.76</v>
      </c>
      <c r="H44" s="10">
        <f ca="1">IFERROR(__xludf.DUMMYFUNCTION("""COMPUTED_VALUE"""),9.12)</f>
        <v>9.1199999999999992</v>
      </c>
    </row>
    <row r="45" spans="1:8">
      <c r="A45" s="8" t="str">
        <f ca="1">IFERROR(__xludf.DUMMYFUNCTION("""COMPUTED_VALUE"""),"AS-IG-AO-IDA-FL-HRIS")</f>
        <v>AS-IG-AO-IDA-FL-HRIS</v>
      </c>
      <c r="B45" s="8" t="str">
        <f ca="1">IFERROR(__xludf.DUMMYFUNCTION("""COMPUTED_VALUE"""),"Quarterly Plan AS-IG-AO-IDA-FL-HRIS")</f>
        <v>Quarterly Plan AS-IG-AO-IDA-FL-HRIS</v>
      </c>
      <c r="C45" s="9" t="str">
        <f ca="1">IFERROR(__xludf.DUMMYFUNCTION("""COMPUTED_VALUE"""),"Flex IDA HRIS")</f>
        <v>Flex IDA HRIS</v>
      </c>
      <c r="D45" s="8" t="str">
        <f ca="1">IFERROR(__xludf.DUMMYFUNCTION("""COMPUTED_VALUE"""),"Recurring")</f>
        <v>Recurring</v>
      </c>
      <c r="E45" s="9" t="str">
        <f ca="1">IFERROR(__xludf.DUMMYFUNCTION("""COMPUTED_VALUE"""),"Igloo Flex Digital Assistant - HRIS Package")</f>
        <v>Igloo Flex Digital Assistant - HRIS Package</v>
      </c>
      <c r="F45" s="10" t="str">
        <f ca="1">IFERROR(__xludf.DUMMYFUNCTION("""COMPUTED_VALUE"""),"CAD")</f>
        <v>CAD</v>
      </c>
      <c r="G45" s="8">
        <f ca="1">IFERROR(__xludf.DUMMYFUNCTION("""COMPUTED_VALUE"""),1.11)</f>
        <v>1.1100000000000001</v>
      </c>
      <c r="H45" s="10">
        <f ca="1">IFERROR(__xludf.DUMMYFUNCTION("""COMPUTED_VALUE"""),13.32)</f>
        <v>13.32</v>
      </c>
    </row>
    <row r="46" spans="1:8">
      <c r="A46" s="8" t="str">
        <f ca="1">IFERROR(__xludf.DUMMYFUNCTION("""COMPUTED_VALUE"""),"AS-IG-AO-IDA-FL-HRIS")</f>
        <v>AS-IG-AO-IDA-FL-HRIS</v>
      </c>
      <c r="B46" s="8" t="str">
        <f ca="1">IFERROR(__xludf.DUMMYFUNCTION("""COMPUTED_VALUE"""),"Annual Plan AS-IG-AO-IDA-FL-HRIS")</f>
        <v>Annual Plan AS-IG-AO-IDA-FL-HRIS</v>
      </c>
      <c r="C46" s="9" t="str">
        <f ca="1">IFERROR(__xludf.DUMMYFUNCTION("""COMPUTED_VALUE"""),"Flex IDA HRIS")</f>
        <v>Flex IDA HRIS</v>
      </c>
      <c r="D46" s="8" t="str">
        <f ca="1">IFERROR(__xludf.DUMMYFUNCTION("""COMPUTED_VALUE"""),"Recurring")</f>
        <v>Recurring</v>
      </c>
      <c r="E46" s="9" t="str">
        <f ca="1">IFERROR(__xludf.DUMMYFUNCTION("""COMPUTED_VALUE"""),"Igloo Flex Digital Assistant - HRIS Package")</f>
        <v>Igloo Flex Digital Assistant - HRIS Package</v>
      </c>
      <c r="F46" s="10" t="str">
        <f ca="1">IFERROR(__xludf.DUMMYFUNCTION("""COMPUTED_VALUE"""),"CAD")</f>
        <v>CAD</v>
      </c>
      <c r="G46" s="10">
        <f ca="1">IFERROR(__xludf.DUMMYFUNCTION("""COMPUTED_VALUE"""),1.11)</f>
        <v>1.1100000000000001</v>
      </c>
      <c r="H46" s="10">
        <f ca="1">IFERROR(__xludf.DUMMYFUNCTION("""COMPUTED_VALUE"""),13.32)</f>
        <v>13.32</v>
      </c>
    </row>
    <row r="47" spans="1:8">
      <c r="A47" s="8" t="str">
        <f ca="1">IFERROR(__xludf.DUMMYFUNCTION("""COMPUTED_VALUE"""),"AS-IG-AO-IDA-HRIS")</f>
        <v>AS-IG-AO-IDA-HRIS</v>
      </c>
      <c r="B47" s="8" t="str">
        <f ca="1">IFERROR(__xludf.DUMMYFUNCTION("""COMPUTED_VALUE"""),"Annual Plan AS-IG-AO-IDA-HRIS")</f>
        <v>Annual Plan AS-IG-AO-IDA-HRIS</v>
      </c>
      <c r="C47" s="9" t="str">
        <f ca="1">IFERROR(__xludf.DUMMYFUNCTION("""COMPUTED_VALUE"""),"IDA HRIS")</f>
        <v>IDA HRIS</v>
      </c>
      <c r="D47" s="8" t="str">
        <f ca="1">IFERROR(__xludf.DUMMYFUNCTION("""COMPUTED_VALUE"""),"Recurring")</f>
        <v>Recurring</v>
      </c>
      <c r="E47" s="9" t="str">
        <f ca="1">IFERROR(__xludf.DUMMYFUNCTION("""COMPUTED_VALUE"""),"Igloo Igloo Digital Assistant - HRIS Package")</f>
        <v>Igloo Igloo Digital Assistant - HRIS Package</v>
      </c>
      <c r="F47" s="10" t="str">
        <f ca="1">IFERROR(__xludf.DUMMYFUNCTION("""COMPUTED_VALUE"""),"CAD")</f>
        <v>CAD</v>
      </c>
      <c r="G47" s="10">
        <f ca="1">IFERROR(__xludf.DUMMYFUNCTION("""COMPUTED_VALUE"""),0.12)</f>
        <v>0.12</v>
      </c>
      <c r="H47" s="10">
        <f ca="1">IFERROR(__xludf.DUMMYFUNCTION("""COMPUTED_VALUE"""),1.44)</f>
        <v>1.44</v>
      </c>
    </row>
    <row r="48" spans="1:8">
      <c r="A48" s="8" t="str">
        <f ca="1">IFERROR(__xludf.DUMMYFUNCTION("""COMPUTED_VALUE"""),"AS-IG-AO-IDA-HRIS")</f>
        <v>AS-IG-AO-IDA-HRIS</v>
      </c>
      <c r="B48" s="8" t="str">
        <f ca="1">IFERROR(__xludf.DUMMYFUNCTION("""COMPUTED_VALUE"""),"Quarterly Plan AS-IG-AO-IDA-HRIS")</f>
        <v>Quarterly Plan AS-IG-AO-IDA-HRIS</v>
      </c>
      <c r="C48" s="9" t="str">
        <f ca="1">IFERROR(__xludf.DUMMYFUNCTION("""COMPUTED_VALUE"""),"IDA HRIS")</f>
        <v>IDA HRIS</v>
      </c>
      <c r="D48" s="8" t="str">
        <f ca="1">IFERROR(__xludf.DUMMYFUNCTION("""COMPUTED_VALUE"""),"Recurring")</f>
        <v>Recurring</v>
      </c>
      <c r="E48" s="9" t="str">
        <f ca="1">IFERROR(__xludf.DUMMYFUNCTION("""COMPUTED_VALUE"""),"Igloo Igloo Digital Assistant - HRIS Package")</f>
        <v>Igloo Igloo Digital Assistant - HRIS Package</v>
      </c>
      <c r="F48" s="10" t="str">
        <f ca="1">IFERROR(__xludf.DUMMYFUNCTION("""COMPUTED_VALUE"""),"CAD")</f>
        <v>CAD</v>
      </c>
      <c r="G48" s="10">
        <f ca="1">IFERROR(__xludf.DUMMYFUNCTION("""COMPUTED_VALUE"""),0.12)</f>
        <v>0.12</v>
      </c>
      <c r="H48" s="10">
        <f ca="1">IFERROR(__xludf.DUMMYFUNCTION("""COMPUTED_VALUE"""),1.44)</f>
        <v>1.44</v>
      </c>
    </row>
    <row r="49" spans="1:8">
      <c r="A49" s="8" t="str">
        <f ca="1">IFERROR(__xludf.DUMMYFUNCTION("""COMPUTED_VALUE"""),"AS-IG-AO-IDS-SL-CM")</f>
        <v>AS-IG-AO-IDS-SL-CM</v>
      </c>
      <c r="B49" s="8" t="str">
        <f ca="1">IFERROR(__xludf.DUMMYFUNCTION("""COMPUTED_VALUE"""),"Quarterly Plan AS-IG-AO-IDS-SL-CM")</f>
        <v>Quarterly Plan AS-IG-AO-IDS-SL-CM</v>
      </c>
      <c r="C49" s="9" t="str">
        <f ca="1">IFERROR(__xludf.DUMMYFUNCTION("""COMPUTED_VALUE"""),"IDS Content Manager")</f>
        <v>IDS Content Manager</v>
      </c>
      <c r="D49" s="8" t="str">
        <f ca="1">IFERROR(__xludf.DUMMYFUNCTION("""COMPUTED_VALUE"""),"Recurring")</f>
        <v>Recurring</v>
      </c>
      <c r="E49" s="9" t="str">
        <f ca="1">IFERROR(__xludf.DUMMYFUNCTION("""COMPUTED_VALUE"""),"Igloo Digital Signage Software License Content Manager")</f>
        <v>Igloo Digital Signage Software License Content Manager</v>
      </c>
      <c r="F49" s="10" t="str">
        <f ca="1">IFERROR(__xludf.DUMMYFUNCTION("""COMPUTED_VALUE"""),"CAD")</f>
        <v>CAD</v>
      </c>
      <c r="G49" s="10">
        <f ca="1">IFERROR(__xludf.DUMMYFUNCTION("""COMPUTED_VALUE"""),1514)</f>
        <v>1514</v>
      </c>
      <c r="H49" s="10">
        <f ca="1">IFERROR(__xludf.DUMMYFUNCTION("""COMPUTED_VALUE"""),18168)</f>
        <v>18168</v>
      </c>
    </row>
    <row r="50" spans="1:8">
      <c r="A50" s="8" t="str">
        <f ca="1">IFERROR(__xludf.DUMMYFUNCTION("""COMPUTED_VALUE"""),"AS-IG-AO-IDS-SL-CM")</f>
        <v>AS-IG-AO-IDS-SL-CM</v>
      </c>
      <c r="B50" s="8" t="str">
        <f ca="1">IFERROR(__xludf.DUMMYFUNCTION("""COMPUTED_VALUE"""),"Annual Plan AS-IG-AO-IDS-SL-CM")</f>
        <v>Annual Plan AS-IG-AO-IDS-SL-CM</v>
      </c>
      <c r="C50" s="9" t="str">
        <f ca="1">IFERROR(__xludf.DUMMYFUNCTION("""COMPUTED_VALUE"""),"IDS Content Manager")</f>
        <v>IDS Content Manager</v>
      </c>
      <c r="D50" s="8" t="str">
        <f ca="1">IFERROR(__xludf.DUMMYFUNCTION("""COMPUTED_VALUE"""),"Recurring")</f>
        <v>Recurring</v>
      </c>
      <c r="E50" s="9" t="str">
        <f ca="1">IFERROR(__xludf.DUMMYFUNCTION("""COMPUTED_VALUE"""),"Igloo Digital Signage Software License Content Manager")</f>
        <v>Igloo Digital Signage Software License Content Manager</v>
      </c>
      <c r="F50" s="10" t="str">
        <f ca="1">IFERROR(__xludf.DUMMYFUNCTION("""COMPUTED_VALUE"""),"CAD")</f>
        <v>CAD</v>
      </c>
      <c r="G50" s="10">
        <f ca="1">IFERROR(__xludf.DUMMYFUNCTION("""COMPUTED_VALUE"""),1514)</f>
        <v>1514</v>
      </c>
      <c r="H50" s="10">
        <f ca="1">IFERROR(__xludf.DUMMYFUNCTION("""COMPUTED_VALUE"""),18168)</f>
        <v>18168</v>
      </c>
    </row>
    <row r="51" spans="1:8">
      <c r="A51" s="8" t="str">
        <f ca="1">IFERROR(__xludf.DUMMYFUNCTION("""COMPUTED_VALUE"""),"AS-IG-AO-IDS-SLF-CM")</f>
        <v>AS-IG-AO-IDS-SLF-CM</v>
      </c>
      <c r="B51" s="8" t="str">
        <f ca="1">IFERROR(__xludf.DUMMYFUNCTION("""COMPUTED_VALUE"""),"Quarterly Plan AS-IG-AO-IDS-SLF-CM")</f>
        <v>Quarterly Plan AS-IG-AO-IDS-SLF-CM</v>
      </c>
      <c r="C51" s="9" t="str">
        <f ca="1">IFERROR(__xludf.DUMMYFUNCTION("""COMPUTED_VALUE"""),"Flex IDS Content Manager")</f>
        <v>Flex IDS Content Manager</v>
      </c>
      <c r="D51" s="8" t="str">
        <f ca="1">IFERROR(__xludf.DUMMYFUNCTION("""COMPUTED_VALUE"""),"Recurring")</f>
        <v>Recurring</v>
      </c>
      <c r="E51" s="9" t="str">
        <f ca="1">IFERROR(__xludf.DUMMYFUNCTION("""COMPUTED_VALUE"""),"Igloo Flex Digital Signage Software License Content Manager")</f>
        <v>Igloo Flex Digital Signage Software License Content Manager</v>
      </c>
      <c r="F51" s="10" t="str">
        <f ca="1">IFERROR(__xludf.DUMMYFUNCTION("""COMPUTED_VALUE"""),"CAD")</f>
        <v>CAD</v>
      </c>
      <c r="G51" s="10">
        <f ca="1">IFERROR(__xludf.DUMMYFUNCTION("""COMPUTED_VALUE"""),126.16)</f>
        <v>126.16</v>
      </c>
      <c r="H51" s="10">
        <f ca="1">IFERROR(__xludf.DUMMYFUNCTION("""COMPUTED_VALUE"""),1513.92)</f>
        <v>1513.92</v>
      </c>
    </row>
    <row r="52" spans="1:8">
      <c r="A52" s="8" t="str">
        <f ca="1">IFERROR(__xludf.DUMMYFUNCTION("""COMPUTED_VALUE"""),"AS-IG-AO-IDS-SLF-CM")</f>
        <v>AS-IG-AO-IDS-SLF-CM</v>
      </c>
      <c r="B52" s="8" t="str">
        <f ca="1">IFERROR(__xludf.DUMMYFUNCTION("""COMPUTED_VALUE"""),"Annual Plan AS-IG-AO-IDS-SLF-CM")</f>
        <v>Annual Plan AS-IG-AO-IDS-SLF-CM</v>
      </c>
      <c r="C52" s="9" t="str">
        <f ca="1">IFERROR(__xludf.DUMMYFUNCTION("""COMPUTED_VALUE"""),"Flex IDS Content Manager")</f>
        <v>Flex IDS Content Manager</v>
      </c>
      <c r="D52" s="8" t="str">
        <f ca="1">IFERROR(__xludf.DUMMYFUNCTION("""COMPUTED_VALUE"""),"Recurring")</f>
        <v>Recurring</v>
      </c>
      <c r="E52" s="9" t="str">
        <f ca="1">IFERROR(__xludf.DUMMYFUNCTION("""COMPUTED_VALUE"""),"Igloo Flex Digital Signage Software License Content Manager")</f>
        <v>Igloo Flex Digital Signage Software License Content Manager</v>
      </c>
      <c r="F52" s="10" t="str">
        <f ca="1">IFERROR(__xludf.DUMMYFUNCTION("""COMPUTED_VALUE"""),"CAD")</f>
        <v>CAD</v>
      </c>
      <c r="G52" s="10">
        <f ca="1">IFERROR(__xludf.DUMMYFUNCTION("""COMPUTED_VALUE"""),126.16)</f>
        <v>126.16</v>
      </c>
      <c r="H52" s="10">
        <f ca="1">IFERROR(__xludf.DUMMYFUNCTION("""COMPUTED_VALUE"""),1513.92)</f>
        <v>1513.92</v>
      </c>
    </row>
    <row r="53" spans="1:8">
      <c r="A53" s="8" t="str">
        <f ca="1">IFERROR(__xludf.DUMMYFUNCTION("""COMPUTED_VALUE"""),"AS-IG-AO-IDS-SLF-SPO")</f>
        <v>AS-IG-AO-IDS-SLF-SPO</v>
      </c>
      <c r="B53" s="8" t="str">
        <f ca="1">IFERROR(__xludf.DUMMYFUNCTION("""COMPUTED_VALUE"""),"Annual Plan AS-IG-AO-IDS-SLF-SPO")</f>
        <v>Annual Plan AS-IG-AO-IDS-SLF-SPO</v>
      </c>
      <c r="C53" s="9" t="str">
        <f ca="1">IFERROR(__xludf.DUMMYFUNCTION("""COMPUTED_VALUE"""),"Flex IDS Player License")</f>
        <v>Flex IDS Player License</v>
      </c>
      <c r="D53" s="8" t="str">
        <f ca="1">IFERROR(__xludf.DUMMYFUNCTION("""COMPUTED_VALUE"""),"Recurring")</f>
        <v>Recurring</v>
      </c>
      <c r="E53" s="9" t="str">
        <f ca="1">IFERROR(__xludf.DUMMYFUNCTION("""COMPUTED_VALUE"""),"Igloo Flex Digital Signage Software License Scala Player One")</f>
        <v>Igloo Flex Digital Signage Software License Scala Player One</v>
      </c>
      <c r="F53" s="10" t="str">
        <f ca="1">IFERROR(__xludf.DUMMYFUNCTION("""COMPUTED_VALUE"""),"CAD")</f>
        <v>CAD</v>
      </c>
      <c r="G53" s="10">
        <f ca="1">IFERROR(__xludf.DUMMYFUNCTION("""COMPUTED_VALUE"""),37.85)</f>
        <v>37.85</v>
      </c>
      <c r="H53" s="10">
        <f ca="1">IFERROR(__xludf.DUMMYFUNCTION("""COMPUTED_VALUE"""),454.2)</f>
        <v>454.2</v>
      </c>
    </row>
    <row r="54" spans="1:8">
      <c r="A54" s="8" t="str">
        <f ca="1">IFERROR(__xludf.DUMMYFUNCTION("""COMPUTED_VALUE"""),"AS-IG-AO-IDS-SLF-SPO")</f>
        <v>AS-IG-AO-IDS-SLF-SPO</v>
      </c>
      <c r="B54" s="8" t="str">
        <f ca="1">IFERROR(__xludf.DUMMYFUNCTION("""COMPUTED_VALUE"""),"Quarterly Plan AS-IG-AO-IDS-SLF-SPO")</f>
        <v>Quarterly Plan AS-IG-AO-IDS-SLF-SPO</v>
      </c>
      <c r="C54" s="9" t="str">
        <f ca="1">IFERROR(__xludf.DUMMYFUNCTION("""COMPUTED_VALUE"""),"Flex IDS Player License")</f>
        <v>Flex IDS Player License</v>
      </c>
      <c r="D54" s="8" t="str">
        <f ca="1">IFERROR(__xludf.DUMMYFUNCTION("""COMPUTED_VALUE"""),"Recurring")</f>
        <v>Recurring</v>
      </c>
      <c r="E54" s="9" t="str">
        <f ca="1">IFERROR(__xludf.DUMMYFUNCTION("""COMPUTED_VALUE"""),"Igloo Flex Digital Signage Software License Scala Player One")</f>
        <v>Igloo Flex Digital Signage Software License Scala Player One</v>
      </c>
      <c r="F54" s="10" t="str">
        <f ca="1">IFERROR(__xludf.DUMMYFUNCTION("""COMPUTED_VALUE"""),"CAD")</f>
        <v>CAD</v>
      </c>
      <c r="G54" s="10">
        <f ca="1">IFERROR(__xludf.DUMMYFUNCTION("""COMPUTED_VALUE"""),37.85)</f>
        <v>37.85</v>
      </c>
      <c r="H54" s="10">
        <f ca="1">IFERROR(__xludf.DUMMYFUNCTION("""COMPUTED_VALUE"""),454.2)</f>
        <v>454.2</v>
      </c>
    </row>
    <row r="55" spans="1:8">
      <c r="A55" s="8" t="str">
        <f ca="1">IFERROR(__xludf.DUMMYFUNCTION("""COMPUTED_VALUE"""),"AS-IG-AO-IDS-SL-SPO")</f>
        <v>AS-IG-AO-IDS-SL-SPO</v>
      </c>
      <c r="B55" s="8" t="str">
        <f ca="1">IFERROR(__xludf.DUMMYFUNCTION("""COMPUTED_VALUE"""),"Quarterly Plan AS-IG-AO-IDS-SL-SPO")</f>
        <v>Quarterly Plan AS-IG-AO-IDS-SL-SPO</v>
      </c>
      <c r="C55" s="9" t="str">
        <f ca="1">IFERROR(__xludf.DUMMYFUNCTION("""COMPUTED_VALUE"""),"IDS Player License")</f>
        <v>IDS Player License</v>
      </c>
      <c r="D55" s="8" t="str">
        <f ca="1">IFERROR(__xludf.DUMMYFUNCTION("""COMPUTED_VALUE"""),"Recurring")</f>
        <v>Recurring</v>
      </c>
      <c r="E55" s="9" t="str">
        <f ca="1">IFERROR(__xludf.DUMMYFUNCTION("""COMPUTED_VALUE"""),"Igloo Digital Signage Software License Scala Player One")</f>
        <v>Igloo Digital Signage Software License Scala Player One</v>
      </c>
      <c r="F55" s="10" t="str">
        <f ca="1">IFERROR(__xludf.DUMMYFUNCTION("""COMPUTED_VALUE"""),"CAD")</f>
        <v>CAD</v>
      </c>
      <c r="G55" s="10">
        <f ca="1">IFERROR(__xludf.DUMMYFUNCTION("""COMPUTED_VALUE"""),454)</f>
        <v>454</v>
      </c>
      <c r="H55" s="10">
        <f ca="1">IFERROR(__xludf.DUMMYFUNCTION("""COMPUTED_VALUE"""),5448)</f>
        <v>5448</v>
      </c>
    </row>
    <row r="56" spans="1:8">
      <c r="A56" s="8" t="str">
        <f ca="1">IFERROR(__xludf.DUMMYFUNCTION("""COMPUTED_VALUE"""),"AS-IG-AO-IDS-SL-SPO")</f>
        <v>AS-IG-AO-IDS-SL-SPO</v>
      </c>
      <c r="B56" s="8" t="str">
        <f ca="1">IFERROR(__xludf.DUMMYFUNCTION("""COMPUTED_VALUE"""),"Annual Plan AS-IG-AO-IDS-SL-SPO")</f>
        <v>Annual Plan AS-IG-AO-IDS-SL-SPO</v>
      </c>
      <c r="C56" s="9" t="str">
        <f ca="1">IFERROR(__xludf.DUMMYFUNCTION("""COMPUTED_VALUE"""),"IDS Player License")</f>
        <v>IDS Player License</v>
      </c>
      <c r="D56" s="8" t="str">
        <f ca="1">IFERROR(__xludf.DUMMYFUNCTION("""COMPUTED_VALUE"""),"Recurring")</f>
        <v>Recurring</v>
      </c>
      <c r="E56" s="9" t="str">
        <f ca="1">IFERROR(__xludf.DUMMYFUNCTION("""COMPUTED_VALUE"""),"Igloo Digital Signage Software License Scala Player One")</f>
        <v>Igloo Digital Signage Software License Scala Player One</v>
      </c>
      <c r="F56" s="10" t="str">
        <f ca="1">IFERROR(__xludf.DUMMYFUNCTION("""COMPUTED_VALUE"""),"CAD")</f>
        <v>CAD</v>
      </c>
      <c r="G56" s="8">
        <f ca="1">IFERROR(__xludf.DUMMYFUNCTION("""COMPUTED_VALUE"""),454)</f>
        <v>454</v>
      </c>
      <c r="H56" s="10">
        <f ca="1">IFERROR(__xludf.DUMMYFUNCTION("""COMPUTED_VALUE"""),5448)</f>
        <v>5448</v>
      </c>
    </row>
    <row r="57" spans="1:8">
      <c r="A57" s="8" t="str">
        <f ca="1">IFERROR(__xludf.DUMMYFUNCTION("""COMPUTED_VALUE"""),"AS-IG-AO-IMBE-1")</f>
        <v>AS-IG-AO-IMBE-1</v>
      </c>
      <c r="B57" s="8" t="str">
        <f ca="1">IFERROR(__xludf.DUMMYFUNCTION("""COMPUTED_VALUE"""),"Quarterly Plan AS-IG-AO-IMBE-1")</f>
        <v>Quarterly Plan AS-IG-AO-IMBE-1</v>
      </c>
      <c r="C57" s="9" t="str">
        <f ca="1">IFERROR(__xludf.DUMMYFUNCTION("""COMPUTED_VALUE"""),"Branded Mobile")</f>
        <v>Branded Mobile</v>
      </c>
      <c r="D57" s="8" t="str">
        <f ca="1">IFERROR(__xludf.DUMMYFUNCTION("""COMPUTED_VALUE"""),"Recurring")</f>
        <v>Recurring</v>
      </c>
      <c r="E57" s="9" t="str">
        <f ca="1">IFERROR(__xludf.DUMMYFUNCTION("""COMPUTED_VALUE"""),"Igloo Mobile Branded Edition - Pkg 1")</f>
        <v>Igloo Mobile Branded Edition - Pkg 1</v>
      </c>
      <c r="F57" s="10" t="str">
        <f ca="1">IFERROR(__xludf.DUMMYFUNCTION("""COMPUTED_VALUE"""),"CAD")</f>
        <v>CAD</v>
      </c>
      <c r="G57" s="10">
        <f ca="1">IFERROR(__xludf.DUMMYFUNCTION("""COMPUTED_VALUE"""),1262)</f>
        <v>1262</v>
      </c>
      <c r="H57" s="10">
        <f ca="1">IFERROR(__xludf.DUMMYFUNCTION("""COMPUTED_VALUE"""),15144)</f>
        <v>15144</v>
      </c>
    </row>
    <row r="58" spans="1:8">
      <c r="A58" s="8" t="str">
        <f ca="1">IFERROR(__xludf.DUMMYFUNCTION("""COMPUTED_VALUE"""),"AS-IG-AO-IMBE-1")</f>
        <v>AS-IG-AO-IMBE-1</v>
      </c>
      <c r="B58" s="8" t="str">
        <f ca="1">IFERROR(__xludf.DUMMYFUNCTION("""COMPUTED_VALUE"""),"Annual Plan AS-IG-AO-IMBE-1")</f>
        <v>Annual Plan AS-IG-AO-IMBE-1</v>
      </c>
      <c r="C58" s="9" t="str">
        <f ca="1">IFERROR(__xludf.DUMMYFUNCTION("""COMPUTED_VALUE"""),"Branded Mobile")</f>
        <v>Branded Mobile</v>
      </c>
      <c r="D58" s="8" t="str">
        <f ca="1">IFERROR(__xludf.DUMMYFUNCTION("""COMPUTED_VALUE"""),"Recurring")</f>
        <v>Recurring</v>
      </c>
      <c r="E58" s="9" t="str">
        <f ca="1">IFERROR(__xludf.DUMMYFUNCTION("""COMPUTED_VALUE"""),"Igloo Mobile Branded Edition - Pkg 1")</f>
        <v>Igloo Mobile Branded Edition - Pkg 1</v>
      </c>
      <c r="F58" s="10" t="str">
        <f ca="1">IFERROR(__xludf.DUMMYFUNCTION("""COMPUTED_VALUE"""),"CAD")</f>
        <v>CAD</v>
      </c>
      <c r="G58" s="8">
        <f ca="1">IFERROR(__xludf.DUMMYFUNCTION("""COMPUTED_VALUE"""),1262)</f>
        <v>1262</v>
      </c>
      <c r="H58" s="10">
        <f ca="1">IFERROR(__xludf.DUMMYFUNCTION("""COMPUTED_VALUE"""),15144)</f>
        <v>15144</v>
      </c>
    </row>
    <row r="59" spans="1:8">
      <c r="A59" s="8" t="str">
        <f ca="1">IFERROR(__xludf.DUMMYFUNCTION("""COMPUTED_VALUE"""),"AS-IG-AO-IMBE-2")</f>
        <v>AS-IG-AO-IMBE-2</v>
      </c>
      <c r="B59" s="8" t="str">
        <f ca="1">IFERROR(__xludf.DUMMYFUNCTION("""COMPUTED_VALUE"""),"Quarterly Plan AS-IG-AO-IMBE-2")</f>
        <v>Quarterly Plan AS-IG-AO-IMBE-2</v>
      </c>
      <c r="C59" s="9" t="str">
        <f ca="1">IFERROR(__xludf.DUMMYFUNCTION("""COMPUTED_VALUE"""),"Branded Mobile")</f>
        <v>Branded Mobile</v>
      </c>
      <c r="D59" s="8" t="str">
        <f ca="1">IFERROR(__xludf.DUMMYFUNCTION("""COMPUTED_VALUE"""),"Recurring")</f>
        <v>Recurring</v>
      </c>
      <c r="E59" s="9" t="str">
        <f ca="1">IFERROR(__xludf.DUMMYFUNCTION("""COMPUTED_VALUE"""),"Igloo Mobile Branded Edition - Pkg 2")</f>
        <v>Igloo Mobile Branded Edition - Pkg 2</v>
      </c>
      <c r="F59" s="10" t="str">
        <f ca="1">IFERROR(__xludf.DUMMYFUNCTION("""COMPUTED_VALUE"""),"CAD")</f>
        <v>CAD</v>
      </c>
      <c r="G59" s="8">
        <f ca="1">IFERROR(__xludf.DUMMYFUNCTION("""COMPUTED_VALUE"""),1892)</f>
        <v>1892</v>
      </c>
      <c r="H59" s="10">
        <f ca="1">IFERROR(__xludf.DUMMYFUNCTION("""COMPUTED_VALUE"""),22704)</f>
        <v>22704</v>
      </c>
    </row>
    <row r="60" spans="1:8">
      <c r="A60" s="8" t="str">
        <f ca="1">IFERROR(__xludf.DUMMYFUNCTION("""COMPUTED_VALUE"""),"AS-IG-AO-IMBE-2")</f>
        <v>AS-IG-AO-IMBE-2</v>
      </c>
      <c r="B60" s="8" t="str">
        <f ca="1">IFERROR(__xludf.DUMMYFUNCTION("""COMPUTED_VALUE"""),"Annual Plan AS-IG-AO-IMBE-2")</f>
        <v>Annual Plan AS-IG-AO-IMBE-2</v>
      </c>
      <c r="C60" s="9" t="str">
        <f ca="1">IFERROR(__xludf.DUMMYFUNCTION("""COMPUTED_VALUE"""),"Branded Mobile")</f>
        <v>Branded Mobile</v>
      </c>
      <c r="D60" s="8" t="str">
        <f ca="1">IFERROR(__xludf.DUMMYFUNCTION("""COMPUTED_VALUE"""),"Recurring")</f>
        <v>Recurring</v>
      </c>
      <c r="E60" s="9" t="str">
        <f ca="1">IFERROR(__xludf.DUMMYFUNCTION("""COMPUTED_VALUE"""),"Igloo Mobile Branded Edition - Pkg 2")</f>
        <v>Igloo Mobile Branded Edition - Pkg 2</v>
      </c>
      <c r="F60" s="10" t="str">
        <f ca="1">IFERROR(__xludf.DUMMYFUNCTION("""COMPUTED_VALUE"""),"CAD")</f>
        <v>CAD</v>
      </c>
      <c r="G60" s="8">
        <f ca="1">IFERROR(__xludf.DUMMYFUNCTION("""COMPUTED_VALUE"""),1892)</f>
        <v>1892</v>
      </c>
      <c r="H60" s="10">
        <f ca="1">IFERROR(__xludf.DUMMYFUNCTION("""COMPUTED_VALUE"""),22704)</f>
        <v>22704</v>
      </c>
    </row>
    <row r="61" spans="1:8">
      <c r="A61" s="8" t="str">
        <f ca="1">IFERROR(__xludf.DUMMYFUNCTION("""COMPUTED_VALUE"""),"AS-IG-AO-IMBE-3")</f>
        <v>AS-IG-AO-IMBE-3</v>
      </c>
      <c r="B61" s="8" t="str">
        <f ca="1">IFERROR(__xludf.DUMMYFUNCTION("""COMPUTED_VALUE"""),"Quarterly Plan AS-IG-AO-IMBE-3")</f>
        <v>Quarterly Plan AS-IG-AO-IMBE-3</v>
      </c>
      <c r="C61" s="9" t="str">
        <f ca="1">IFERROR(__xludf.DUMMYFUNCTION("""COMPUTED_VALUE"""),"Branded Mobile")</f>
        <v>Branded Mobile</v>
      </c>
      <c r="D61" s="8" t="str">
        <f ca="1">IFERROR(__xludf.DUMMYFUNCTION("""COMPUTED_VALUE"""),"Recurring")</f>
        <v>Recurring</v>
      </c>
      <c r="E61" s="9" t="str">
        <f ca="1">IFERROR(__xludf.DUMMYFUNCTION("""COMPUTED_VALUE"""),"Igloo Mobile Branded Edition - Pkg 3")</f>
        <v>Igloo Mobile Branded Edition - Pkg 3</v>
      </c>
      <c r="F61" s="8" t="str">
        <f ca="1">IFERROR(__xludf.DUMMYFUNCTION("""COMPUTED_VALUE"""),"CAD")</f>
        <v>CAD</v>
      </c>
      <c r="G61" s="10">
        <f ca="1">IFERROR(__xludf.DUMMYFUNCTION("""COMPUTED_VALUE"""),3154)</f>
        <v>3154</v>
      </c>
      <c r="H61" s="10">
        <f ca="1">IFERROR(__xludf.DUMMYFUNCTION("""COMPUTED_VALUE"""),37848)</f>
        <v>37848</v>
      </c>
    </row>
    <row r="62" spans="1:8">
      <c r="A62" s="8" t="str">
        <f ca="1">IFERROR(__xludf.DUMMYFUNCTION("""COMPUTED_VALUE"""),"AS-IG-AO-IMBE-3")</f>
        <v>AS-IG-AO-IMBE-3</v>
      </c>
      <c r="B62" s="8" t="str">
        <f ca="1">IFERROR(__xludf.DUMMYFUNCTION("""COMPUTED_VALUE"""),"Annual Plan AS-IG-AO-IMBE-3")</f>
        <v>Annual Plan AS-IG-AO-IMBE-3</v>
      </c>
      <c r="C62" s="9" t="str">
        <f ca="1">IFERROR(__xludf.DUMMYFUNCTION("""COMPUTED_VALUE"""),"Branded Mobile")</f>
        <v>Branded Mobile</v>
      </c>
      <c r="D62" s="8" t="str">
        <f ca="1">IFERROR(__xludf.DUMMYFUNCTION("""COMPUTED_VALUE"""),"Recurring")</f>
        <v>Recurring</v>
      </c>
      <c r="E62" s="9" t="str">
        <f ca="1">IFERROR(__xludf.DUMMYFUNCTION("""COMPUTED_VALUE"""),"Igloo Mobile Branded Edition - Pkg 3")</f>
        <v>Igloo Mobile Branded Edition - Pkg 3</v>
      </c>
      <c r="F62" s="10" t="str">
        <f ca="1">IFERROR(__xludf.DUMMYFUNCTION("""COMPUTED_VALUE"""),"CAD")</f>
        <v>CAD</v>
      </c>
      <c r="G62" s="10">
        <f ca="1">IFERROR(__xludf.DUMMYFUNCTION("""COMPUTED_VALUE"""),3154)</f>
        <v>3154</v>
      </c>
      <c r="H62" s="10">
        <f ca="1">IFERROR(__xludf.DUMMYFUNCTION("""COMPUTED_VALUE"""),37848)</f>
        <v>37848</v>
      </c>
    </row>
    <row r="63" spans="1:8">
      <c r="A63" s="8" t="str">
        <f ca="1">IFERROR(__xludf.DUMMYFUNCTION("""COMPUTED_VALUE"""),"AS-IG-AO-IN-PB")</f>
        <v>AS-IG-AO-IN-PB</v>
      </c>
      <c r="B63" s="8" t="str">
        <f ca="1">IFERROR(__xludf.DUMMYFUNCTION("""COMPUTED_VALUE"""),"Quarterly Plan AS-IG-AO-IN-PB")</f>
        <v>Quarterly Plan AS-IG-AO-IN-PB</v>
      </c>
      <c r="C63" s="9" t="str">
        <f ca="1">IFERROR(__xludf.DUMMYFUNCTION("""COMPUTED_VALUE"""),"Insights Program Bundle")</f>
        <v>Insights Program Bundle</v>
      </c>
      <c r="D63" s="8" t="str">
        <f ca="1">IFERROR(__xludf.DUMMYFUNCTION("""COMPUTED_VALUE"""),"Recurring")</f>
        <v>Recurring</v>
      </c>
      <c r="E63" s="9" t="str">
        <f ca="1">IFERROR(__xludf.DUMMYFUNCTION("""COMPUTED_VALUE"""),"Insights Program Bundle")</f>
        <v>Insights Program Bundle</v>
      </c>
      <c r="F63" s="10" t="str">
        <f ca="1">IFERROR(__xludf.DUMMYFUNCTION("""COMPUTED_VALUE"""),"CAD")</f>
        <v>CAD</v>
      </c>
      <c r="G63" s="10">
        <f ca="1">IFERROR(__xludf.DUMMYFUNCTION("""COMPUTED_VALUE"""),505)</f>
        <v>505</v>
      </c>
      <c r="H63" s="10">
        <f ca="1">IFERROR(__xludf.DUMMYFUNCTION("""COMPUTED_VALUE"""),6060)</f>
        <v>6060</v>
      </c>
    </row>
    <row r="64" spans="1:8">
      <c r="A64" s="8" t="str">
        <f ca="1">IFERROR(__xludf.DUMMYFUNCTION("""COMPUTED_VALUE"""),"AS-IG-AO-IN-PB")</f>
        <v>AS-IG-AO-IN-PB</v>
      </c>
      <c r="B64" s="8" t="str">
        <f ca="1">IFERROR(__xludf.DUMMYFUNCTION("""COMPUTED_VALUE"""),"Annual Plan AS-IG-AO-IN-PB")</f>
        <v>Annual Plan AS-IG-AO-IN-PB</v>
      </c>
      <c r="C64" s="9" t="str">
        <f ca="1">IFERROR(__xludf.DUMMYFUNCTION("""COMPUTED_VALUE"""),"Insights Program Bundle")</f>
        <v>Insights Program Bundle</v>
      </c>
      <c r="D64" s="8" t="str">
        <f ca="1">IFERROR(__xludf.DUMMYFUNCTION("""COMPUTED_VALUE"""),"Recurring")</f>
        <v>Recurring</v>
      </c>
      <c r="E64" s="9" t="str">
        <f ca="1">IFERROR(__xludf.DUMMYFUNCTION("""COMPUTED_VALUE"""),"Insights Program Bundle")</f>
        <v>Insights Program Bundle</v>
      </c>
      <c r="F64" s="10" t="str">
        <f ca="1">IFERROR(__xludf.DUMMYFUNCTION("""COMPUTED_VALUE"""),"CAD")</f>
        <v>CAD</v>
      </c>
      <c r="G64" s="10">
        <f ca="1">IFERROR(__xludf.DUMMYFUNCTION("""COMPUTED_VALUE"""),505)</f>
        <v>505</v>
      </c>
      <c r="H64" s="10">
        <f ca="1">IFERROR(__xludf.DUMMYFUNCTION("""COMPUTED_VALUE"""),6060)</f>
        <v>6060</v>
      </c>
    </row>
    <row r="65" spans="1:8">
      <c r="A65" s="8" t="str">
        <f ca="1">IFERROR(__xludf.DUMMYFUNCTION("""COMPUTED_VALUE"""),"AS-IG-AO-M-PP")</f>
        <v>AS-IG-AO-M-PP</v>
      </c>
      <c r="B65" s="8" t="str">
        <f ca="1">IFERROR(__xludf.DUMMYFUNCTION("""COMPUTED_VALUE"""),"Quarterly Plan AS-IG-AO-M-PP")</f>
        <v>Quarterly Plan AS-IG-AO-M-PP</v>
      </c>
      <c r="C65" s="9" t="str">
        <f ca="1">IFERROR(__xludf.DUMMYFUNCTION("""COMPUTED_VALUE"""),"Premium Profiles")</f>
        <v>Premium Profiles</v>
      </c>
      <c r="D65" s="8" t="str">
        <f ca="1">IFERROR(__xludf.DUMMYFUNCTION("""COMPUTED_VALUE"""),"Recurring")</f>
        <v>Recurring</v>
      </c>
      <c r="E65" s="9" t="str">
        <f ca="1">IFERROR(__xludf.DUMMYFUNCTION("""COMPUTED_VALUE"""),"Module: Premium Profiles")</f>
        <v>Module: Premium Profiles</v>
      </c>
      <c r="F65" s="10" t="str">
        <f ca="1">IFERROR(__xludf.DUMMYFUNCTION("""COMPUTED_VALUE"""),"CAD")</f>
        <v>CAD</v>
      </c>
      <c r="G65" s="10">
        <f ca="1">IFERROR(__xludf.DUMMYFUNCTION("""COMPUTED_VALUE"""),315)</f>
        <v>315</v>
      </c>
      <c r="H65" s="10">
        <f ca="1">IFERROR(__xludf.DUMMYFUNCTION("""COMPUTED_VALUE"""),3780)</f>
        <v>3780</v>
      </c>
    </row>
    <row r="66" spans="1:8">
      <c r="A66" s="8" t="str">
        <f ca="1">IFERROR(__xludf.DUMMYFUNCTION("""COMPUTED_VALUE"""),"AS-IG-AO-M-PP")</f>
        <v>AS-IG-AO-M-PP</v>
      </c>
      <c r="B66" s="8" t="str">
        <f ca="1">IFERROR(__xludf.DUMMYFUNCTION("""COMPUTED_VALUE"""),"Annual Plan AS-IG-AO-M-PP")</f>
        <v>Annual Plan AS-IG-AO-M-PP</v>
      </c>
      <c r="C66" s="9" t="str">
        <f ca="1">IFERROR(__xludf.DUMMYFUNCTION("""COMPUTED_VALUE"""),"Premium Profiles")</f>
        <v>Premium Profiles</v>
      </c>
      <c r="D66" s="8" t="str">
        <f ca="1">IFERROR(__xludf.DUMMYFUNCTION("""COMPUTED_VALUE"""),"Recurring")</f>
        <v>Recurring</v>
      </c>
      <c r="E66" s="9" t="str">
        <f ca="1">IFERROR(__xludf.DUMMYFUNCTION("""COMPUTED_VALUE"""),"Module: Premium Profiles")</f>
        <v>Module: Premium Profiles</v>
      </c>
      <c r="F66" s="10" t="str">
        <f ca="1">IFERROR(__xludf.DUMMYFUNCTION("""COMPUTED_VALUE"""),"CAD")</f>
        <v>CAD</v>
      </c>
      <c r="G66" s="10">
        <f ca="1">IFERROR(__xludf.DUMMYFUNCTION("""COMPUTED_VALUE"""),315)</f>
        <v>315</v>
      </c>
      <c r="H66" s="10">
        <f ca="1">IFERROR(__xludf.DUMMYFUNCTION("""COMPUTED_VALUE"""),3780)</f>
        <v>3780</v>
      </c>
    </row>
    <row r="67" spans="1:8">
      <c r="A67" s="8" t="str">
        <f ca="1">IFERROR(__xludf.DUMMYFUNCTION("""COMPUTED_VALUE"""),"AS-IG-AO-RECC-P")</f>
        <v>AS-IG-AO-RECC-P</v>
      </c>
      <c r="B67" s="8" t="str">
        <f ca="1">IFERROR(__xludf.DUMMYFUNCTION("""COMPUTED_VALUE"""),"Annual Plan AS-IG-AO-RECC-P")</f>
        <v>Annual Plan AS-IG-AO-RECC-P</v>
      </c>
      <c r="C67" s="9" t="str">
        <f ca="1">IFERROR(__xludf.DUMMYFUNCTION("""COMPUTED_VALUE"""),"Rec Center Plus")</f>
        <v>Rec Center Plus</v>
      </c>
      <c r="D67" s="8" t="str">
        <f ca="1">IFERROR(__xludf.DUMMYFUNCTION("""COMPUTED_VALUE"""),"Recurring")</f>
        <v>Recurring</v>
      </c>
      <c r="E67" s="9" t="str">
        <f ca="1">IFERROR(__xludf.DUMMYFUNCTION("""COMPUTED_VALUE"""),"Recognition Center Plus")</f>
        <v>Recognition Center Plus</v>
      </c>
      <c r="F67" s="10" t="str">
        <f ca="1">IFERROR(__xludf.DUMMYFUNCTION("""COMPUTED_VALUE"""),"CAD")</f>
        <v>CAD</v>
      </c>
      <c r="G67" s="10">
        <f ca="1">IFERROR(__xludf.DUMMYFUNCTION("""COMPUTED_VALUE"""),22709)</f>
        <v>22709</v>
      </c>
      <c r="H67" s="10">
        <f ca="1">IFERROR(__xludf.DUMMYFUNCTION("""COMPUTED_VALUE"""),272508)</f>
        <v>272508</v>
      </c>
    </row>
    <row r="68" spans="1:8">
      <c r="A68" s="8" t="str">
        <f ca="1">IFERROR(__xludf.DUMMYFUNCTION("""COMPUTED_VALUE"""),"AS-IG-AO-RECC-P")</f>
        <v>AS-IG-AO-RECC-P</v>
      </c>
      <c r="B68" s="8" t="str">
        <f ca="1">IFERROR(__xludf.DUMMYFUNCTION("""COMPUTED_VALUE"""),"Quarterly Plan AS-IG-AO-RECC-P")</f>
        <v>Quarterly Plan AS-IG-AO-RECC-P</v>
      </c>
      <c r="C68" s="9" t="str">
        <f ca="1">IFERROR(__xludf.DUMMYFUNCTION("""COMPUTED_VALUE"""),"Rec Center Plus")</f>
        <v>Rec Center Plus</v>
      </c>
      <c r="D68" s="8" t="str">
        <f ca="1">IFERROR(__xludf.DUMMYFUNCTION("""COMPUTED_VALUE"""),"Recurring")</f>
        <v>Recurring</v>
      </c>
      <c r="E68" s="9" t="str">
        <f ca="1">IFERROR(__xludf.DUMMYFUNCTION("""COMPUTED_VALUE"""),"Recognition Center Plus")</f>
        <v>Recognition Center Plus</v>
      </c>
      <c r="F68" s="10" t="str">
        <f ca="1">IFERROR(__xludf.DUMMYFUNCTION("""COMPUTED_VALUE"""),"CAD")</f>
        <v>CAD</v>
      </c>
      <c r="G68" s="8">
        <f ca="1">IFERROR(__xludf.DUMMYFUNCTION("""COMPUTED_VALUE"""),22709)</f>
        <v>22709</v>
      </c>
      <c r="H68" s="10">
        <f ca="1">IFERROR(__xludf.DUMMYFUNCTION("""COMPUTED_VALUE"""),272508)</f>
        <v>272508</v>
      </c>
    </row>
    <row r="69" spans="1:8">
      <c r="A69" s="8" t="str">
        <f ca="1">IFERROR(__xludf.DUMMYFUNCTION("""COMPUTED_VALUE"""),"AS-IG-AO-TR-IUL")</f>
        <v>AS-IG-AO-TR-IUL</v>
      </c>
      <c r="B69" s="8" t="str">
        <f ca="1">IFERROR(__xludf.DUMMYFUNCTION("""COMPUTED_VALUE"""),"Quarterly Plan AS-IG-AO-TR-IUL")</f>
        <v>Quarterly Plan AS-IG-AO-TR-IUL</v>
      </c>
      <c r="C69" s="9" t="str">
        <f ca="1">IFERROR(__xludf.DUMMYFUNCTION("""COMPUTED_VALUE"""),"Igloo University License")</f>
        <v>Igloo University License</v>
      </c>
      <c r="D69" s="8" t="str">
        <f ca="1">IFERROR(__xludf.DUMMYFUNCTION("""COMPUTED_VALUE"""),"Recurring")</f>
        <v>Recurring</v>
      </c>
      <c r="E69" s="9" t="str">
        <f ca="1">IFERROR(__xludf.DUMMYFUNCTION("""COMPUTED_VALUE"""),"Igloo University License")</f>
        <v>Igloo University License</v>
      </c>
      <c r="F69" s="10" t="str">
        <f ca="1">IFERROR(__xludf.DUMMYFUNCTION("""COMPUTED_VALUE"""),"CAD")</f>
        <v>CAD</v>
      </c>
      <c r="G69" s="10">
        <f ca="1">IFERROR(__xludf.DUMMYFUNCTION("""COMPUTED_VALUE"""),1135)</f>
        <v>1135</v>
      </c>
      <c r="H69" s="10">
        <f ca="1">IFERROR(__xludf.DUMMYFUNCTION("""COMPUTED_VALUE"""),13620)</f>
        <v>13620</v>
      </c>
    </row>
    <row r="70" spans="1:8">
      <c r="A70" s="8" t="str">
        <f ca="1">IFERROR(__xludf.DUMMYFUNCTION("""COMPUTED_VALUE"""),"AS-IG-AO-TR-IUL")</f>
        <v>AS-IG-AO-TR-IUL</v>
      </c>
      <c r="B70" s="8" t="str">
        <f ca="1">IFERROR(__xludf.DUMMYFUNCTION("""COMPUTED_VALUE"""),"Annual Plan AS-IG-AO-TR-IUL")</f>
        <v>Annual Plan AS-IG-AO-TR-IUL</v>
      </c>
      <c r="C70" s="9" t="str">
        <f ca="1">IFERROR(__xludf.DUMMYFUNCTION("""COMPUTED_VALUE"""),"Igloo University License")</f>
        <v>Igloo University License</v>
      </c>
      <c r="D70" s="8" t="str">
        <f ca="1">IFERROR(__xludf.DUMMYFUNCTION("""COMPUTED_VALUE"""),"Recurring")</f>
        <v>Recurring</v>
      </c>
      <c r="E70" s="9" t="str">
        <f ca="1">IFERROR(__xludf.DUMMYFUNCTION("""COMPUTED_VALUE"""),"Igloo University License")</f>
        <v>Igloo University License</v>
      </c>
      <c r="F70" s="10" t="str">
        <f ca="1">IFERROR(__xludf.DUMMYFUNCTION("""COMPUTED_VALUE"""),"CAD")</f>
        <v>CAD</v>
      </c>
      <c r="G70" s="10">
        <f ca="1">IFERROR(__xludf.DUMMYFUNCTION("""COMPUTED_VALUE"""),1135)</f>
        <v>1135</v>
      </c>
      <c r="H70" s="10">
        <f ca="1">IFERROR(__xludf.DUMMYFUNCTION("""COMPUTED_VALUE"""),13620)</f>
        <v>13620</v>
      </c>
    </row>
    <row r="71" spans="1:8">
      <c r="A71" s="8" t="str">
        <f ca="1">IFERROR(__xludf.DUMMYFUNCTION("""COMPUTED_VALUE"""),"AS-IG-DATA-EXPORT")</f>
        <v>AS-IG-DATA-EXPORT</v>
      </c>
      <c r="B71" s="8" t="str">
        <f ca="1">IFERROR(__xludf.DUMMYFUNCTION("""COMPUTED_VALUE"""),"AS-IG-DATA-EXPORT")</f>
        <v>AS-IG-DATA-EXPORT</v>
      </c>
      <c r="C71" s="9" t="str">
        <f ca="1">IFERROR(__xludf.DUMMYFUNCTION("""COMPUTED_VALUE"""),"Data Export")</f>
        <v>Data Export</v>
      </c>
      <c r="D71" s="8" t="str">
        <f ca="1">IFERROR(__xludf.DUMMYFUNCTION("""COMPUTED_VALUE"""),"One-Time")</f>
        <v>One-Time</v>
      </c>
      <c r="E71" s="9" t="str">
        <f ca="1">IFERROR(__xludf.DUMMYFUNCTION("""COMPUTED_VALUE"""),"Data Export")</f>
        <v>Data Export</v>
      </c>
      <c r="F71" s="10" t="str">
        <f ca="1">IFERROR(__xludf.DUMMYFUNCTION("""COMPUTED_VALUE"""),"CAD")</f>
        <v>CAD</v>
      </c>
      <c r="G71" s="10">
        <f ca="1">IFERROR(__xludf.DUMMYFUNCTION("""COMPUTED_VALUE"""),3785)</f>
        <v>3785</v>
      </c>
      <c r="H71" s="10">
        <f ca="1">IFERROR(__xludf.DUMMYFUNCTION("""COMPUTED_VALUE"""),3785)</f>
        <v>3785</v>
      </c>
    </row>
    <row r="72" spans="1:8">
      <c r="A72" s="8" t="str">
        <f ca="1">IFERROR(__xludf.DUMMYFUNCTION("""COMPUTED_VALUE"""),"AS-IG-DWEP-P")</f>
        <v>AS-IG-DWEP-P</v>
      </c>
      <c r="B72" s="8" t="str">
        <f ca="1">IFERROR(__xludf.DUMMYFUNCTION("""COMPUTED_VALUE"""),"Quarterly Plan AS-IG-DWEP-P")</f>
        <v>Quarterly Plan AS-IG-DWEP-P</v>
      </c>
      <c r="C72" s="9" t="str">
        <f ca="1">IFERROR(__xludf.DUMMYFUNCTION("""COMPUTED_VALUE"""),"DWP Excellence Program")</f>
        <v>DWP Excellence Program</v>
      </c>
      <c r="D72" s="8" t="str">
        <f ca="1">IFERROR(__xludf.DUMMYFUNCTION("""COMPUTED_VALUE"""),"Recurring")</f>
        <v>Recurring</v>
      </c>
      <c r="E72" s="9" t="str">
        <f ca="1">IFERROR(__xludf.DUMMYFUNCTION("""COMPUTED_VALUE"""),"Digital Workplace Excellence Program - Pro")</f>
        <v>Digital Workplace Excellence Program - Pro</v>
      </c>
      <c r="F72" s="10" t="str">
        <f ca="1">IFERROR(__xludf.DUMMYFUNCTION("""COMPUTED_VALUE"""),"CAD")</f>
        <v>CAD</v>
      </c>
      <c r="G72" s="10">
        <f ca="1">IFERROR(__xludf.DUMMYFUNCTION("""COMPUTED_VALUE"""),12112)</f>
        <v>12112</v>
      </c>
      <c r="H72" s="10">
        <f ca="1">IFERROR(__xludf.DUMMYFUNCTION("""COMPUTED_VALUE"""),145344)</f>
        <v>145344</v>
      </c>
    </row>
    <row r="73" spans="1:8">
      <c r="A73" s="8" t="str">
        <f ca="1">IFERROR(__xludf.DUMMYFUNCTION("""COMPUTED_VALUE"""),"AS-IG-DWEP-P")</f>
        <v>AS-IG-DWEP-P</v>
      </c>
      <c r="B73" s="8" t="str">
        <f ca="1">IFERROR(__xludf.DUMMYFUNCTION("""COMPUTED_VALUE"""),"Annual Plan AS-IG-DWEP-P")</f>
        <v>Annual Plan AS-IG-DWEP-P</v>
      </c>
      <c r="C73" s="9" t="str">
        <f ca="1">IFERROR(__xludf.DUMMYFUNCTION("""COMPUTED_VALUE"""),"DWP Excellence Program")</f>
        <v>DWP Excellence Program</v>
      </c>
      <c r="D73" s="8" t="str">
        <f ca="1">IFERROR(__xludf.DUMMYFUNCTION("""COMPUTED_VALUE"""),"Recurring")</f>
        <v>Recurring</v>
      </c>
      <c r="E73" s="9" t="str">
        <f ca="1">IFERROR(__xludf.DUMMYFUNCTION("""COMPUTED_VALUE"""),"Digital Workplace Excellence Program - Pro")</f>
        <v>Digital Workplace Excellence Program - Pro</v>
      </c>
      <c r="F73" s="10" t="str">
        <f ca="1">IFERROR(__xludf.DUMMYFUNCTION("""COMPUTED_VALUE"""),"CAD")</f>
        <v>CAD</v>
      </c>
      <c r="G73" s="10">
        <f ca="1">IFERROR(__xludf.DUMMYFUNCTION("""COMPUTED_VALUE"""),12112)</f>
        <v>12112</v>
      </c>
      <c r="H73" s="10">
        <f ca="1">IFERROR(__xludf.DUMMYFUNCTION("""COMPUTED_VALUE"""),145344)</f>
        <v>145344</v>
      </c>
    </row>
    <row r="74" spans="1:8">
      <c r="A74" s="8" t="str">
        <f ca="1">IFERROR(__xludf.DUMMYFUNCTION("""COMPUTED_VALUE"""),"AS-IG-EVOL-A-SS")</f>
        <v>AS-IG-EVOL-A-SS</v>
      </c>
      <c r="B74" s="8" t="str">
        <f ca="1">IFERROR(__xludf.DUMMYFUNCTION("""COMPUTED_VALUE"""),"AS-IG-EVOL-A-SS")</f>
        <v>AS-IG-EVOL-A-SS</v>
      </c>
      <c r="C74" s="9" t="str">
        <f ca="1">IFERROR(__xludf.DUMMYFUNCTION("""COMPUTED_VALUE"""),"Evolve - Architecture and Search")</f>
        <v>Evolve - Architecture and Search</v>
      </c>
      <c r="D74" s="8" t="str">
        <f ca="1">IFERROR(__xludf.DUMMYFUNCTION("""COMPUTED_VALUE"""),"One-Time")</f>
        <v>One-Time</v>
      </c>
      <c r="E74" s="9" t="str">
        <f ca="1">IFERROR(__xludf.DUMMYFUNCTION("""COMPUTED_VALUE"""),"Evolve - Architecture &amp; Search Support")</f>
        <v>Evolve - Architecture &amp; Search Support</v>
      </c>
      <c r="F74" s="10" t="str">
        <f ca="1">IFERROR(__xludf.DUMMYFUNCTION("""COMPUTED_VALUE"""),"CAD")</f>
        <v>CAD</v>
      </c>
      <c r="G74" s="10">
        <f ca="1">IFERROR(__xludf.DUMMYFUNCTION("""COMPUTED_VALUE"""),631)</f>
        <v>631</v>
      </c>
      <c r="H74" s="10">
        <f ca="1">IFERROR(__xludf.DUMMYFUNCTION("""COMPUTED_VALUE"""),631)</f>
        <v>631</v>
      </c>
    </row>
    <row r="75" spans="1:8">
      <c r="A75" s="8" t="str">
        <f ca="1">IFERROR(__xludf.DUMMYFUNCTION("""COMPUTED_VALUE"""),"AS-IG-EVOL-EVDE")</f>
        <v>AS-IG-EVOL-EVDE</v>
      </c>
      <c r="B75" s="8" t="str">
        <f ca="1">IFERROR(__xludf.DUMMYFUNCTION("""COMPUTED_VALUE"""),"AS-IG-EVOL-EVDE")</f>
        <v>AS-IG-EVOL-EVDE</v>
      </c>
      <c r="C75" s="9" t="str">
        <f ca="1">IFERROR(__xludf.DUMMYFUNCTION("""COMPUTED_VALUE"""),"Evolve - Enterprise VD")</f>
        <v>Evolve - Enterprise VD</v>
      </c>
      <c r="D75" s="8" t="str">
        <f ca="1">IFERROR(__xludf.DUMMYFUNCTION("""COMPUTED_VALUE"""),"One-Time")</f>
        <v>One-Time</v>
      </c>
      <c r="E75" s="9" t="str">
        <f ca="1">IFERROR(__xludf.DUMMYFUNCTION("""COMPUTED_VALUE"""),"Enterprise Visual Design Evolve")</f>
        <v>Enterprise Visual Design Evolve</v>
      </c>
      <c r="F75" s="10" t="str">
        <f ca="1">IFERROR(__xludf.DUMMYFUNCTION("""COMPUTED_VALUE"""),"CAD")</f>
        <v>CAD</v>
      </c>
      <c r="G75" s="10">
        <f ca="1">IFERROR(__xludf.DUMMYFUNCTION("""COMPUTED_VALUE"""),30279)</f>
        <v>30279</v>
      </c>
      <c r="H75" s="10">
        <f ca="1">IFERROR(__xludf.DUMMYFUNCTION("""COMPUTED_VALUE"""),30279)</f>
        <v>30279</v>
      </c>
    </row>
    <row r="76" spans="1:8">
      <c r="A76" s="8" t="str">
        <f ca="1">IFERROR(__xludf.DUMMYFUNCTION("""COMPUTED_VALUE"""),"AS-IG-FAIS")</f>
        <v>AS-IG-FAIS</v>
      </c>
      <c r="B76" s="8" t="str">
        <f ca="1">IFERROR(__xludf.DUMMYFUNCTION("""COMPUTED_VALUE"""),"AS-IG-FAIS")</f>
        <v>AS-IG-FAIS</v>
      </c>
      <c r="C76" s="9" t="str">
        <f ca="1">IFERROR(__xludf.DUMMYFUNCTION("""COMPUTED_VALUE"""),"Flex Advanced Implementation")</f>
        <v>Flex Advanced Implementation</v>
      </c>
      <c r="D76" s="8" t="str">
        <f ca="1">IFERROR(__xludf.DUMMYFUNCTION("""COMPUTED_VALUE"""),"One-Time")</f>
        <v>One-Time</v>
      </c>
      <c r="E76" s="9" t="str">
        <f ca="1">IFERROR(__xludf.DUMMYFUNCTION("""COMPUTED_VALUE"""),"Flex Advanced Implementation Services")</f>
        <v>Flex Advanced Implementation Services</v>
      </c>
      <c r="F76" s="10" t="str">
        <f ca="1">IFERROR(__xludf.DUMMYFUNCTION("""COMPUTED_VALUE"""),"CAD")</f>
        <v>CAD</v>
      </c>
      <c r="G76" s="10">
        <f ca="1">IFERROR(__xludf.DUMMYFUNCTION("""COMPUTED_VALUE"""),151394)</f>
        <v>151394</v>
      </c>
      <c r="H76" s="10">
        <f ca="1">IFERROR(__xludf.DUMMYFUNCTION("""COMPUTED_VALUE"""),151394)</f>
        <v>151394</v>
      </c>
    </row>
    <row r="77" spans="1:8">
      <c r="A77" s="8" t="str">
        <f ca="1">IFERROR(__xludf.DUMMYFUNCTION("""COMPUTED_VALUE"""),"AS-IG-FSIS")</f>
        <v>AS-IG-FSIS</v>
      </c>
      <c r="B77" s="8" t="str">
        <f ca="1">IFERROR(__xludf.DUMMYFUNCTION("""COMPUTED_VALUE"""),"AS-IG-FSIS")</f>
        <v>AS-IG-FSIS</v>
      </c>
      <c r="C77" s="9" t="str">
        <f ca="1">IFERROR(__xludf.DUMMYFUNCTION("""COMPUTED_VALUE"""),"Flex Standard Implementation")</f>
        <v>Flex Standard Implementation</v>
      </c>
      <c r="D77" s="8" t="str">
        <f ca="1">IFERROR(__xludf.DUMMYFUNCTION("""COMPUTED_VALUE"""),"One-Time")</f>
        <v>One-Time</v>
      </c>
      <c r="E77" s="9" t="str">
        <f ca="1">IFERROR(__xludf.DUMMYFUNCTION("""COMPUTED_VALUE"""),"Flex Standard Implementation Services")</f>
        <v>Flex Standard Implementation Services</v>
      </c>
      <c r="F77" s="10" t="str">
        <f ca="1">IFERROR(__xludf.DUMMYFUNCTION("""COMPUTED_VALUE"""),"CAD")</f>
        <v>CAD</v>
      </c>
      <c r="G77" s="10">
        <f ca="1">IFERROR(__xludf.DUMMYFUNCTION("""COMPUTED_VALUE"""),75697)</f>
        <v>75697</v>
      </c>
      <c r="H77" s="10">
        <f ca="1">IFERROR(__xludf.DUMMYFUNCTION("""COMPUTED_VALUE"""),75697)</f>
        <v>75697</v>
      </c>
    </row>
    <row r="78" spans="1:8">
      <c r="A78" s="8" t="str">
        <f ca="1">IFERROR(__xludf.DUMMYFUNCTION("""COMPUTED_VALUE"""),"AS-IG-HOSTING-MULTIT-I-1-10")</f>
        <v>AS-IG-HOSTING-MULTIT-I-1-10</v>
      </c>
      <c r="B78" s="8" t="str">
        <f ca="1">IFERROR(__xludf.DUMMYFUNCTION("""COMPUTED_VALUE"""),"Annual Plan AS-IG-HOSTING-MULTIT-I-1-10")</f>
        <v>Annual Plan AS-IG-HOSTING-MULTIT-I-1-10</v>
      </c>
      <c r="C78" s="9" t="str">
        <f ca="1">IFERROR(__xludf.DUMMYFUNCTION("""COMPUTED_VALUE"""),"Igloo Concurrent License")</f>
        <v>Igloo Concurrent License</v>
      </c>
      <c r="D78" s="8" t="str">
        <f ca="1">IFERROR(__xludf.DUMMYFUNCTION("""COMPUTED_VALUE"""),"Recurring")</f>
        <v>Recurring</v>
      </c>
      <c r="E78" s="9" t="str">
        <f ca="1">IFERROR(__xludf.DUMMYFUNCTION("""COMPUTED_VALUE"""),"Concurrent 1:10")</f>
        <v>Concurrent 1:10</v>
      </c>
      <c r="F78" s="10" t="str">
        <f ca="1">IFERROR(__xludf.DUMMYFUNCTION("""COMPUTED_VALUE"""),"CAD")</f>
        <v>CAD</v>
      </c>
      <c r="G78" s="10">
        <f ca="1">IFERROR(__xludf.DUMMYFUNCTION("""COMPUTED_VALUE"""),18.17)</f>
        <v>18.170000000000002</v>
      </c>
      <c r="H78" s="10">
        <f ca="1">IFERROR(__xludf.DUMMYFUNCTION("""COMPUTED_VALUE"""),218.04)</f>
        <v>218.04</v>
      </c>
    </row>
    <row r="79" spans="1:8">
      <c r="A79" s="8" t="str">
        <f ca="1">IFERROR(__xludf.DUMMYFUNCTION("""COMPUTED_VALUE"""),"AS-IG-HOSTING-MULTIT-I-1-10")</f>
        <v>AS-IG-HOSTING-MULTIT-I-1-10</v>
      </c>
      <c r="B79" s="8" t="str">
        <f ca="1">IFERROR(__xludf.DUMMYFUNCTION("""COMPUTED_VALUE"""),"Quarterly Plan AS-IG-HOSTING-MULTIT-I-1-10")</f>
        <v>Quarterly Plan AS-IG-HOSTING-MULTIT-I-1-10</v>
      </c>
      <c r="C79" s="9" t="str">
        <f ca="1">IFERROR(__xludf.DUMMYFUNCTION("""COMPUTED_VALUE"""),"Igloo Concurrent License")</f>
        <v>Igloo Concurrent License</v>
      </c>
      <c r="D79" s="8" t="str">
        <f ca="1">IFERROR(__xludf.DUMMYFUNCTION("""COMPUTED_VALUE"""),"Recurring")</f>
        <v>Recurring</v>
      </c>
      <c r="E79" s="9" t="str">
        <f ca="1">IFERROR(__xludf.DUMMYFUNCTION("""COMPUTED_VALUE"""),"Concurrent 1:10")</f>
        <v>Concurrent 1:10</v>
      </c>
      <c r="F79" s="10" t="str">
        <f ca="1">IFERROR(__xludf.DUMMYFUNCTION("""COMPUTED_VALUE"""),"CAD")</f>
        <v>CAD</v>
      </c>
      <c r="G79" s="10">
        <f ca="1">IFERROR(__xludf.DUMMYFUNCTION("""COMPUTED_VALUE"""),18.17)</f>
        <v>18.170000000000002</v>
      </c>
      <c r="H79" s="10">
        <f ca="1">IFERROR(__xludf.DUMMYFUNCTION("""COMPUTED_VALUE"""),218.04)</f>
        <v>218.04</v>
      </c>
    </row>
    <row r="80" spans="1:8">
      <c r="A80" s="8" t="str">
        <f ca="1">IFERROR(__xludf.DUMMYFUNCTION("""COMPUTED_VALUE"""),"AS-IG-IDS-DS-BP")</f>
        <v>AS-IG-IDS-DS-BP</v>
      </c>
      <c r="B80" s="8" t="str">
        <f ca="1">IFERROR(__xludf.DUMMYFUNCTION("""COMPUTED_VALUE"""),"AS-IG-IDS-DS-BP")</f>
        <v>AS-IG-IDS-DS-BP</v>
      </c>
      <c r="C80" s="9" t="str">
        <f ca="1">IFERROR(__xludf.DUMMYFUNCTION("""COMPUTED_VALUE"""),"IDS Scala Implement")</f>
        <v>IDS Scala Implement</v>
      </c>
      <c r="D80" s="8" t="str">
        <f ca="1">IFERROR(__xludf.DUMMYFUNCTION("""COMPUTED_VALUE"""),"One-Time")</f>
        <v>One-Time</v>
      </c>
      <c r="E80" s="9" t="str">
        <f ca="1">IFERROR(__xludf.DUMMYFUNCTION("""COMPUTED_VALUE"""),"Igloo Digital Signage Services Base Package - Standard Templates + Implementation")</f>
        <v>Igloo Digital Signage Services Base Package - Standard Templates + Implementation</v>
      </c>
      <c r="F80" s="10" t="str">
        <f ca="1">IFERROR(__xludf.DUMMYFUNCTION("""COMPUTED_VALUE"""),"CAD")</f>
        <v>CAD</v>
      </c>
      <c r="G80" s="8">
        <f ca="1">IFERROR(__xludf.DUMMYFUNCTION("""COMPUTED_VALUE"""),227)</f>
        <v>227</v>
      </c>
      <c r="H80" s="10">
        <f ca="1">IFERROR(__xludf.DUMMYFUNCTION("""COMPUTED_VALUE"""),227)</f>
        <v>227</v>
      </c>
    </row>
    <row r="81" spans="1:8">
      <c r="A81" s="8" t="str">
        <f ca="1">IFERROR(__xludf.DUMMYFUNCTION("""COMPUTED_VALUE"""),"AS-IG-IDS-DS-IISDS")</f>
        <v>AS-IG-IDS-DS-IISDS</v>
      </c>
      <c r="B81" s="8" t="str">
        <f ca="1">IFERROR(__xludf.DUMMYFUNCTION("""COMPUTED_VALUE"""),"AS-IG-IDS-DS-IISDS")</f>
        <v>AS-IG-IDS-DS-IISDS</v>
      </c>
      <c r="C81" s="9" t="str">
        <f ca="1">IFERROR(__xludf.DUMMYFUNCTION("""COMPUTED_VALUE"""),"IDS Igloo Implement")</f>
        <v>IDS Igloo Implement</v>
      </c>
      <c r="D81" s="8" t="str">
        <f ca="1">IFERROR(__xludf.DUMMYFUNCTION("""COMPUTED_VALUE"""),"One-Time")</f>
        <v>One-Time</v>
      </c>
      <c r="E81" s="9" t="str">
        <f ca="1">IFERROR(__xludf.DUMMYFUNCTION("""COMPUTED_VALUE"""),"Igloo Digital Signage Services Igloo Implementation Services for Digital Signage")</f>
        <v>Igloo Digital Signage Services Igloo Implementation Services for Digital Signage</v>
      </c>
      <c r="F81" s="10" t="str">
        <f ca="1">IFERROR(__xludf.DUMMYFUNCTION("""COMPUTED_VALUE"""),"CAD")</f>
        <v>CAD</v>
      </c>
      <c r="G81" s="10">
        <f ca="1">IFERROR(__xludf.DUMMYFUNCTION("""COMPUTED_VALUE"""),5299)</f>
        <v>5299</v>
      </c>
      <c r="H81" s="10">
        <f ca="1">IFERROR(__xludf.DUMMYFUNCTION("""COMPUTED_VALUE"""),5299)</f>
        <v>5299</v>
      </c>
    </row>
    <row r="82" spans="1:8">
      <c r="A82" s="8" t="str">
        <f ca="1">IFERROR(__xludf.DUMMYFUNCTION("""COMPUTED_VALUE"""),"AS-IG-IFAH-1UL")</f>
        <v>AS-IG-IFAH-1UL</v>
      </c>
      <c r="B82" s="8" t="str">
        <f ca="1">IFERROR(__xludf.DUMMYFUNCTION("""COMPUTED_VALUE"""),"Quarterly Plan AS-IG-IFAH-1UL")</f>
        <v>Quarterly Plan AS-IG-IFAH-1UL</v>
      </c>
      <c r="C82" s="9" t="str">
        <f ca="1">IFERROR(__xludf.DUMMYFUNCTION("""COMPUTED_VALUE"""),"Igloo Flex License")</f>
        <v>Igloo Flex License</v>
      </c>
      <c r="D82" s="8" t="str">
        <f ca="1">IFERROR(__xludf.DUMMYFUNCTION("""COMPUTED_VALUE"""),"Recurring")</f>
        <v>Recurring</v>
      </c>
      <c r="E82" s="9" t="str">
        <f ca="1">IFERROR(__xludf.DUMMYFUNCTION("""COMPUTED_VALUE"""),"Igloo Flex Authorized User License")</f>
        <v>Igloo Flex Authorized User License</v>
      </c>
      <c r="F82" s="10" t="str">
        <f ca="1">IFERROR(__xludf.DUMMYFUNCTION("""COMPUTED_VALUE"""),"CAD")</f>
        <v>CAD</v>
      </c>
      <c r="G82" s="10">
        <f ca="1">IFERROR(__xludf.DUMMYFUNCTION("""COMPUTED_VALUE"""),9.07)</f>
        <v>9.07</v>
      </c>
      <c r="H82" s="10">
        <f ca="1">IFERROR(__xludf.DUMMYFUNCTION("""COMPUTED_VALUE"""),108.84)</f>
        <v>108.84</v>
      </c>
    </row>
    <row r="83" spans="1:8">
      <c r="A83" s="8" t="str">
        <f ca="1">IFERROR(__xludf.DUMMYFUNCTION("""COMPUTED_VALUE"""),"AS-IG-IFAH-1UL")</f>
        <v>AS-IG-IFAH-1UL</v>
      </c>
      <c r="B83" s="8" t="str">
        <f ca="1">IFERROR(__xludf.DUMMYFUNCTION("""COMPUTED_VALUE"""),"Annual Plan AS-IG-IFAH-1UL")</f>
        <v>Annual Plan AS-IG-IFAH-1UL</v>
      </c>
      <c r="C83" s="9" t="str">
        <f ca="1">IFERROR(__xludf.DUMMYFUNCTION("""COMPUTED_VALUE"""),"Igloo Flex License")</f>
        <v>Igloo Flex License</v>
      </c>
      <c r="D83" s="8" t="str">
        <f ca="1">IFERROR(__xludf.DUMMYFUNCTION("""COMPUTED_VALUE"""),"Recurring")</f>
        <v>Recurring</v>
      </c>
      <c r="E83" s="9" t="str">
        <f ca="1">IFERROR(__xludf.DUMMYFUNCTION("""COMPUTED_VALUE"""),"Igloo Flex Authorized User License")</f>
        <v>Igloo Flex Authorized User License</v>
      </c>
      <c r="F83" s="10" t="str">
        <f ca="1">IFERROR(__xludf.DUMMYFUNCTION("""COMPUTED_VALUE"""),"CAD")</f>
        <v>CAD</v>
      </c>
      <c r="G83" s="10">
        <f ca="1">IFERROR(__xludf.DUMMYFUNCTION("""COMPUTED_VALUE"""),9.07)</f>
        <v>9.07</v>
      </c>
      <c r="H83" s="10">
        <f ca="1">IFERROR(__xludf.DUMMYFUNCTION("""COMPUTED_VALUE"""),108.84)</f>
        <v>108.84</v>
      </c>
    </row>
    <row r="84" spans="1:8">
      <c r="A84" s="8" t="str">
        <f ca="1">IFERROR(__xludf.DUMMYFUNCTION("""COMPUTED_VALUE"""),"AS-IG-IIS-UL")</f>
        <v>AS-IG-IIS-UL</v>
      </c>
      <c r="B84" s="8" t="str">
        <f ca="1">IFERROR(__xludf.DUMMYFUNCTION("""COMPUTED_VALUE"""),"Annual Plan AS-IG-IIS-UL")</f>
        <v>Annual Plan AS-IG-IIS-UL</v>
      </c>
      <c r="C84" s="9" t="str">
        <f ca="1">IFERROR(__xludf.DUMMYFUNCTION("""COMPUTED_VALUE"""),"IIS Queries")</f>
        <v>IIS Queries</v>
      </c>
      <c r="D84" s="8" t="str">
        <f ca="1">IFERROR(__xludf.DUMMYFUNCTION("""COMPUTED_VALUE"""),"Recurring")</f>
        <v>Recurring</v>
      </c>
      <c r="E84" s="9" t="str">
        <f ca="1">IFERROR(__xludf.DUMMYFUNCTION("""COMPUTED_VALUE"""),"Igloo Intelligent Search (IIS)")</f>
        <v>Igloo Intelligent Search (IIS)</v>
      </c>
      <c r="F84" s="10" t="str">
        <f ca="1">IFERROR(__xludf.DUMMYFUNCTION("""COMPUTED_VALUE"""),"CAD")</f>
        <v>CAD</v>
      </c>
      <c r="G84" s="8">
        <f ca="1">IFERROR(__xludf.DUMMYFUNCTION("""COMPUTED_VALUE"""),0.03)</f>
        <v>0.03</v>
      </c>
      <c r="H84" s="10">
        <f ca="1">IFERROR(__xludf.DUMMYFUNCTION("""COMPUTED_VALUE"""),0.36)</f>
        <v>0.36</v>
      </c>
    </row>
    <row r="85" spans="1:8">
      <c r="A85" s="8" t="str">
        <f ca="1">IFERROR(__xludf.DUMMYFUNCTION("""COMPUTED_VALUE"""),"AS-IG-IIS-UL")</f>
        <v>AS-IG-IIS-UL</v>
      </c>
      <c r="B85" s="8" t="str">
        <f ca="1">IFERROR(__xludf.DUMMYFUNCTION("""COMPUTED_VALUE"""),"Quarterly Plan AS-IG-IIS-UL")</f>
        <v>Quarterly Plan AS-IG-IIS-UL</v>
      </c>
      <c r="C85" s="9" t="str">
        <f ca="1">IFERROR(__xludf.DUMMYFUNCTION("""COMPUTED_VALUE"""),"IIS Queries")</f>
        <v>IIS Queries</v>
      </c>
      <c r="D85" s="8" t="str">
        <f ca="1">IFERROR(__xludf.DUMMYFUNCTION("""COMPUTED_VALUE"""),"Recurring")</f>
        <v>Recurring</v>
      </c>
      <c r="E85" s="9" t="str">
        <f ca="1">IFERROR(__xludf.DUMMYFUNCTION("""COMPUTED_VALUE"""),"Igloo Intelligent Search (IIS)")</f>
        <v>Igloo Intelligent Search (IIS)</v>
      </c>
      <c r="F85" s="10" t="str">
        <f ca="1">IFERROR(__xludf.DUMMYFUNCTION("""COMPUTED_VALUE"""),"CAD")</f>
        <v>CAD</v>
      </c>
      <c r="G85" s="8">
        <f ca="1">IFERROR(__xludf.DUMMYFUNCTION("""COMPUTED_VALUE"""),0.03)</f>
        <v>0.03</v>
      </c>
      <c r="H85" s="10">
        <f ca="1">IFERROR(__xludf.DUMMYFUNCTION("""COMPUTED_VALUE"""),0.36)</f>
        <v>0.36</v>
      </c>
    </row>
    <row r="86" spans="1:8">
      <c r="A86" s="8" t="str">
        <f ca="1">IFERROR(__xludf.DUMMYFUNCTION("""COMPUTED_VALUE"""),"AS-IG-IMBLS")</f>
        <v>AS-IG-IMBLS</v>
      </c>
      <c r="B86" s="8" t="str">
        <f ca="1">IFERROR(__xludf.DUMMYFUNCTION("""COMPUTED_VALUE"""),"AS-IG-IMBLS")</f>
        <v>AS-IG-IMBLS</v>
      </c>
      <c r="C86" s="9" t="str">
        <f ca="1">IFERROR(__xludf.DUMMYFUNCTION("""COMPUTED_VALUE"""),"Mobile Implement")</f>
        <v>Mobile Implement</v>
      </c>
      <c r="D86" s="8" t="str">
        <f ca="1">IFERROR(__xludf.DUMMYFUNCTION("""COMPUTED_VALUE"""),"One-Time")</f>
        <v>One-Time</v>
      </c>
      <c r="E86" s="9" t="str">
        <f ca="1">IFERROR(__xludf.DUMMYFUNCTION("""COMPUTED_VALUE"""),"Igloo Mobile Branded Launch Services")</f>
        <v>Igloo Mobile Branded Launch Services</v>
      </c>
      <c r="F86" s="10" t="str">
        <f ca="1">IFERROR(__xludf.DUMMYFUNCTION("""COMPUTED_VALUE"""),"CAD")</f>
        <v>CAD</v>
      </c>
      <c r="G86" s="8">
        <f ca="1">IFERROR(__xludf.DUMMYFUNCTION("""COMPUTED_VALUE"""),1262)</f>
        <v>1262</v>
      </c>
      <c r="H86" s="10">
        <f ca="1">IFERROR(__xludf.DUMMYFUNCTION("""COMPUTED_VALUE"""),1262)</f>
        <v>1262</v>
      </c>
    </row>
    <row r="87" spans="1:8">
      <c r="A87" s="8" t="str">
        <f ca="1">IFERROR(__xludf.DUMMYFUNCTION("""COMPUTED_VALUE"""),"AS-IG-MLP-IF")</f>
        <v>AS-IG-MLP-IF</v>
      </c>
      <c r="B87" s="8" t="str">
        <f ca="1">IFERROR(__xludf.DUMMYFUNCTION("""COMPUTED_VALUE"""),"AS-IG-MLP-IF")</f>
        <v>AS-IG-MLP-IF</v>
      </c>
      <c r="C87" s="9" t="str">
        <f ca="1">IFERROR(__xludf.DUMMYFUNCTION("""COMPUTED_VALUE"""),"Flex Migration")</f>
        <v>Flex Migration</v>
      </c>
      <c r="D87" s="8" t="str">
        <f ca="1">IFERROR(__xludf.DUMMYFUNCTION("""COMPUTED_VALUE"""),"One-Time")</f>
        <v>One-Time</v>
      </c>
      <c r="E87" s="9" t="str">
        <f ca="1">IFERROR(__xludf.DUMMYFUNCTION("""COMPUTED_VALUE"""),"Direct Migration From Legacy Platform to Igloo Flex")</f>
        <v>Direct Migration From Legacy Platform to Igloo Flex</v>
      </c>
      <c r="F87" s="10" t="str">
        <f ca="1">IFERROR(__xludf.DUMMYFUNCTION("""COMPUTED_VALUE"""),"CAD")</f>
        <v>CAD</v>
      </c>
      <c r="G87" s="8">
        <f ca="1">IFERROR(__xludf.DUMMYFUNCTION("""COMPUTED_VALUE"""),75697)</f>
        <v>75697</v>
      </c>
      <c r="H87" s="10">
        <f ca="1">IFERROR(__xludf.DUMMYFUNCTION("""COMPUTED_VALUE"""),75697)</f>
        <v>75697</v>
      </c>
    </row>
    <row r="88" spans="1:8">
      <c r="A88" s="8" t="str">
        <f ca="1">IFERROR(__xludf.DUMMYFUNCTION("""COMPUTED_VALUE"""),"AS-IG-MLP-IF2")</f>
        <v>AS-IG-MLP-IF2</v>
      </c>
      <c r="B88" s="8" t="str">
        <f ca="1">IFERROR(__xludf.DUMMYFUNCTION("""COMPUTED_VALUE"""),"AS-IG-MLP-IF2")</f>
        <v>AS-IG-MLP-IF2</v>
      </c>
      <c r="C88" s="9" t="str">
        <f ca="1">IFERROR(__xludf.DUMMYFUNCTION("""COMPUTED_VALUE"""),"Flex Migration")</f>
        <v>Flex Migration</v>
      </c>
      <c r="D88" s="8" t="str">
        <f ca="1">IFERROR(__xludf.DUMMYFUNCTION("""COMPUTED_VALUE"""),"One-Time")</f>
        <v>One-Time</v>
      </c>
      <c r="E88" s="9" t="str">
        <f ca="1">IFERROR(__xludf.DUMMYFUNCTION("""COMPUTED_VALUE"""),"Evolve Migration From Legacy Platform to Igloo Flex")</f>
        <v>Evolve Migration From Legacy Platform to Igloo Flex</v>
      </c>
      <c r="F88" s="10" t="str">
        <f ca="1">IFERROR(__xludf.DUMMYFUNCTION("""COMPUTED_VALUE"""),"CAD")</f>
        <v>CAD</v>
      </c>
      <c r="G88" s="10">
        <f ca="1">IFERROR(__xludf.DUMMYFUNCTION("""COMPUTED_VALUE"""),113546)</f>
        <v>113546</v>
      </c>
      <c r="H88" s="10">
        <f ca="1">IFERROR(__xludf.DUMMYFUNCTION("""COMPUTED_VALUE"""),113546)</f>
        <v>113546</v>
      </c>
    </row>
    <row r="89" spans="1:8">
      <c r="A89" s="8" t="str">
        <f ca="1">IFERROR(__xludf.DUMMYFUNCTION("""COMPUTED_VALUE"""),"AS-IG-M-PP-AF")</f>
        <v>AS-IG-M-PP-AF</v>
      </c>
      <c r="B89" s="8" t="str">
        <f ca="1">IFERROR(__xludf.DUMMYFUNCTION("""COMPUTED_VALUE"""),"AS-IG-M-PP-AF")</f>
        <v>AS-IG-M-PP-AF</v>
      </c>
      <c r="C89" s="9" t="str">
        <f ca="1">IFERROR(__xludf.DUMMYFUNCTION("""COMPUTED_VALUE"""),"Premium Profiles Implement")</f>
        <v>Premium Profiles Implement</v>
      </c>
      <c r="D89" s="8" t="str">
        <f ca="1">IFERROR(__xludf.DUMMYFUNCTION("""COMPUTED_VALUE"""),"One-Time")</f>
        <v>One-Time</v>
      </c>
      <c r="E89" s="9" t="str">
        <f ca="1">IFERROR(__xludf.DUMMYFUNCTION("""COMPUTED_VALUE"""),"Module: Premium Profiles - Additional Field Modification")</f>
        <v>Module: Premium Profiles - Additional Field Modification</v>
      </c>
      <c r="F89" s="10" t="str">
        <f ca="1">IFERROR(__xludf.DUMMYFUNCTION("""COMPUTED_VALUE"""),"CAD")</f>
        <v>CAD</v>
      </c>
      <c r="G89" s="10">
        <f ca="1">IFERROR(__xludf.DUMMYFUNCTION("""COMPUTED_VALUE"""),3785)</f>
        <v>3785</v>
      </c>
      <c r="H89" s="10">
        <f ca="1">IFERROR(__xludf.DUMMYFUNCTION("""COMPUTED_VALUE"""),3785)</f>
        <v>3785</v>
      </c>
    </row>
    <row r="90" spans="1:8">
      <c r="A90" s="8" t="str">
        <f ca="1">IFERROR(__xludf.DUMMYFUNCTION("""COMPUTED_VALUE"""),"AS-M-SEENSPIRE-CARDS")</f>
        <v>AS-M-SEENSPIRE-CARDS</v>
      </c>
      <c r="B90" s="8" t="str">
        <f ca="1">IFERROR(__xludf.DUMMYFUNCTION("""COMPUTED_VALUE"""),"Cards 25")</f>
        <v>Cards 25</v>
      </c>
      <c r="C90" s="9" t="str">
        <f ca="1">IFERROR(__xludf.DUMMYFUNCTION("""COMPUTED_VALUE"""),"Device Add-on")</f>
        <v>Device Add-on</v>
      </c>
      <c r="D90" s="8" t="str">
        <f ca="1">IFERROR(__xludf.DUMMYFUNCTION("""COMPUTED_VALUE"""),"Recurring")</f>
        <v>Recurring</v>
      </c>
      <c r="E90" s="9"/>
      <c r="F90" s="10" t="str">
        <f ca="1">IFERROR(__xludf.DUMMYFUNCTION("""COMPUTED_VALUE"""),"CAD")</f>
        <v>CAD</v>
      </c>
      <c r="G90" s="10">
        <f ca="1">IFERROR(__xludf.DUMMYFUNCTION("""COMPUTED_VALUE"""),33.31)</f>
        <v>33.31</v>
      </c>
      <c r="H90" s="10">
        <f ca="1">IFERROR(__xludf.DUMMYFUNCTION("""COMPUTED_VALUE"""),399.72)</f>
        <v>399.72</v>
      </c>
    </row>
    <row r="91" spans="1:8">
      <c r="A91" s="8" t="str">
        <f ca="1">IFERROR(__xludf.DUMMYFUNCTION("""COMPUTED_VALUE"""),"AS-M-SEENSPIRE-CARDS")</f>
        <v>AS-M-SEENSPIRE-CARDS</v>
      </c>
      <c r="B91" s="8" t="str">
        <f ca="1">IFERROR(__xludf.DUMMYFUNCTION("""COMPUTED_VALUE"""),"Cards 25")</f>
        <v>Cards 25</v>
      </c>
      <c r="C91" s="9" t="str">
        <f ca="1">IFERROR(__xludf.DUMMYFUNCTION("""COMPUTED_VALUE"""),"Platform")</f>
        <v>Platform</v>
      </c>
      <c r="D91" s="8" t="str">
        <f ca="1">IFERROR(__xludf.DUMMYFUNCTION("""COMPUTED_VALUE"""),"Recurring")</f>
        <v>Recurring</v>
      </c>
      <c r="E91" s="9"/>
      <c r="F91" s="10" t="str">
        <f ca="1">IFERROR(__xludf.DUMMYFUNCTION("""COMPUTED_VALUE"""),"CAD")</f>
        <v>CAD</v>
      </c>
      <c r="G91" s="10">
        <f ca="1">IFERROR(__xludf.DUMMYFUNCTION("""COMPUTED_VALUE"""),946)</f>
        <v>946</v>
      </c>
      <c r="H91" s="10">
        <f ca="1">IFERROR(__xludf.DUMMYFUNCTION("""COMPUTED_VALUE"""),11352)</f>
        <v>11352</v>
      </c>
    </row>
    <row r="92" spans="1:8">
      <c r="A92" s="8" t="str">
        <f ca="1">IFERROR(__xludf.DUMMYFUNCTION("""COMPUTED_VALUE"""),"AS-M-SEENSPIRE-CARDS")</f>
        <v>AS-M-SEENSPIRE-CARDS</v>
      </c>
      <c r="B92" s="8" t="str">
        <f ca="1">IFERROR(__xludf.DUMMYFUNCTION("""COMPUTED_VALUE"""),"Cards 50")</f>
        <v>Cards 50</v>
      </c>
      <c r="C92" s="9" t="str">
        <f ca="1">IFERROR(__xludf.DUMMYFUNCTION("""COMPUTED_VALUE"""),"Device Add-on")</f>
        <v>Device Add-on</v>
      </c>
      <c r="D92" s="8" t="str">
        <f ca="1">IFERROR(__xludf.DUMMYFUNCTION("""COMPUTED_VALUE"""),"Recurring")</f>
        <v>Recurring</v>
      </c>
      <c r="E92" s="9"/>
      <c r="F92" s="10" t="str">
        <f ca="1">IFERROR(__xludf.DUMMYFUNCTION("""COMPUTED_VALUE"""),"CAD")</f>
        <v>CAD</v>
      </c>
      <c r="G92" s="8">
        <f ca="1">IFERROR(__xludf.DUMMYFUNCTION("""COMPUTED_VALUE"""),33.31)</f>
        <v>33.31</v>
      </c>
      <c r="H92" s="10">
        <f ca="1">IFERROR(__xludf.DUMMYFUNCTION("""COMPUTED_VALUE"""),399.72)</f>
        <v>399.72</v>
      </c>
    </row>
    <row r="93" spans="1:8">
      <c r="A93" s="8" t="str">
        <f ca="1">IFERROR(__xludf.DUMMYFUNCTION("""COMPUTED_VALUE"""),"AS-M-SEENSPIRE-CARDS")</f>
        <v>AS-M-SEENSPIRE-CARDS</v>
      </c>
      <c r="B93" s="8" t="str">
        <f ca="1">IFERROR(__xludf.DUMMYFUNCTION("""COMPUTED_VALUE"""),"Cards 250")</f>
        <v>Cards 250</v>
      </c>
      <c r="C93" s="9" t="str">
        <f ca="1">IFERROR(__xludf.DUMMYFUNCTION("""COMPUTED_VALUE"""),"Device Add-on")</f>
        <v>Device Add-on</v>
      </c>
      <c r="D93" s="8" t="str">
        <f ca="1">IFERROR(__xludf.DUMMYFUNCTION("""COMPUTED_VALUE"""),"Recurring")</f>
        <v>Recurring</v>
      </c>
      <c r="E93" s="9"/>
      <c r="F93" s="10" t="str">
        <f ca="1">IFERROR(__xludf.DUMMYFUNCTION("""COMPUTED_VALUE"""),"CAD")</f>
        <v>CAD</v>
      </c>
      <c r="G93" s="10">
        <f ca="1">IFERROR(__xludf.DUMMYFUNCTION("""COMPUTED_VALUE"""),15.14)</f>
        <v>15.14</v>
      </c>
      <c r="H93" s="10">
        <f ca="1">IFERROR(__xludf.DUMMYFUNCTION("""COMPUTED_VALUE"""),181.68)</f>
        <v>181.68</v>
      </c>
    </row>
    <row r="94" spans="1:8">
      <c r="A94" s="8" t="str">
        <f ca="1">IFERROR(__xludf.DUMMYFUNCTION("""COMPUTED_VALUE"""),"AS-M-SEENSPIRE-CARDS")</f>
        <v>AS-M-SEENSPIRE-CARDS</v>
      </c>
      <c r="B94" s="8" t="str">
        <f ca="1">IFERROR(__xludf.DUMMYFUNCTION("""COMPUTED_VALUE"""),"Cards 1000")</f>
        <v>Cards 1000</v>
      </c>
      <c r="C94" s="9" t="str">
        <f ca="1">IFERROR(__xludf.DUMMYFUNCTION("""COMPUTED_VALUE"""),"Device Add-on")</f>
        <v>Device Add-on</v>
      </c>
      <c r="D94" s="8" t="str">
        <f ca="1">IFERROR(__xludf.DUMMYFUNCTION("""COMPUTED_VALUE"""),"Recurring")</f>
        <v>Recurring</v>
      </c>
      <c r="E94" s="9"/>
      <c r="F94" s="10" t="str">
        <f ca="1">IFERROR(__xludf.DUMMYFUNCTION("""COMPUTED_VALUE"""),"CAD")</f>
        <v>CAD</v>
      </c>
      <c r="G94" s="10">
        <f ca="1">IFERROR(__xludf.DUMMYFUNCTION("""COMPUTED_VALUE"""),7.57)</f>
        <v>7.57</v>
      </c>
      <c r="H94" s="10">
        <f ca="1">IFERROR(__xludf.DUMMYFUNCTION("""COMPUTED_VALUE"""),90.84)</f>
        <v>90.84</v>
      </c>
    </row>
    <row r="95" spans="1:8">
      <c r="A95" s="8" t="str">
        <f ca="1">IFERROR(__xludf.DUMMYFUNCTION("""COMPUTED_VALUE"""),"AS-M-SEENSPIRE-CARDS")</f>
        <v>AS-M-SEENSPIRE-CARDS</v>
      </c>
      <c r="B95" s="8" t="str">
        <f ca="1">IFERROR(__xludf.DUMMYFUNCTION("""COMPUTED_VALUE"""),"Cards 3000")</f>
        <v>Cards 3000</v>
      </c>
      <c r="C95" s="9" t="str">
        <f ca="1">IFERROR(__xludf.DUMMYFUNCTION("""COMPUTED_VALUE"""),"Device Add-on")</f>
        <v>Device Add-on</v>
      </c>
      <c r="D95" s="8" t="str">
        <f ca="1">IFERROR(__xludf.DUMMYFUNCTION("""COMPUTED_VALUE"""),"Recurring")</f>
        <v>Recurring</v>
      </c>
      <c r="E95" s="9"/>
      <c r="F95" s="10" t="str">
        <f ca="1">IFERROR(__xludf.DUMMYFUNCTION("""COMPUTED_VALUE"""),"CAD")</f>
        <v>CAD</v>
      </c>
      <c r="G95" s="10">
        <f ca="1">IFERROR(__xludf.DUMMYFUNCTION("""COMPUTED_VALUE"""),4.54)</f>
        <v>4.54</v>
      </c>
      <c r="H95" s="10">
        <f ca="1">IFERROR(__xludf.DUMMYFUNCTION("""COMPUTED_VALUE"""),54.48)</f>
        <v>54.48</v>
      </c>
    </row>
    <row r="96" spans="1:8">
      <c r="A96" s="8" t="str">
        <f ca="1">IFERROR(__xludf.DUMMYFUNCTION("""COMPUTED_VALUE"""),"AS-M-SEENSPIRE-CARDS")</f>
        <v>AS-M-SEENSPIRE-CARDS</v>
      </c>
      <c r="B96" s="8" t="str">
        <f ca="1">IFERROR(__xludf.DUMMYFUNCTION("""COMPUTED_VALUE"""),"Cards 50")</f>
        <v>Cards 50</v>
      </c>
      <c r="C96" s="9" t="str">
        <f ca="1">IFERROR(__xludf.DUMMYFUNCTION("""COMPUTED_VALUE"""),"Platform")</f>
        <v>Platform</v>
      </c>
      <c r="D96" s="8" t="str">
        <f ca="1">IFERROR(__xludf.DUMMYFUNCTION("""COMPUTED_VALUE"""),"Recurring")</f>
        <v>Recurring</v>
      </c>
      <c r="E96" s="9"/>
      <c r="F96" s="10" t="str">
        <f ca="1">IFERROR(__xludf.DUMMYFUNCTION("""COMPUTED_VALUE"""),"CAD")</f>
        <v>CAD</v>
      </c>
      <c r="G96" s="10">
        <f ca="1">IFERROR(__xludf.DUMMYFUNCTION("""COMPUTED_VALUE"""),1892)</f>
        <v>1892</v>
      </c>
      <c r="H96" s="10">
        <f ca="1">IFERROR(__xludf.DUMMYFUNCTION("""COMPUTED_VALUE"""),22704)</f>
        <v>22704</v>
      </c>
    </row>
    <row r="97" spans="1:8">
      <c r="A97" s="8" t="str">
        <f ca="1">IFERROR(__xludf.DUMMYFUNCTION("""COMPUTED_VALUE"""),"AS-M-SEENSPIRE-CARDS")</f>
        <v>AS-M-SEENSPIRE-CARDS</v>
      </c>
      <c r="B97" s="8" t="str">
        <f ca="1">IFERROR(__xludf.DUMMYFUNCTION("""COMPUTED_VALUE"""),"Cards 250")</f>
        <v>Cards 250</v>
      </c>
      <c r="C97" s="9" t="str">
        <f ca="1">IFERROR(__xludf.DUMMYFUNCTION("""COMPUTED_VALUE"""),"Platform")</f>
        <v>Platform</v>
      </c>
      <c r="D97" s="8" t="str">
        <f ca="1">IFERROR(__xludf.DUMMYFUNCTION("""COMPUTED_VALUE"""),"Recurring")</f>
        <v>Recurring</v>
      </c>
      <c r="E97" s="9"/>
      <c r="F97" s="10" t="str">
        <f ca="1">IFERROR(__xludf.DUMMYFUNCTION("""COMPUTED_VALUE"""),"CAD")</f>
        <v>CAD</v>
      </c>
      <c r="G97" s="10">
        <f ca="1">IFERROR(__xludf.DUMMYFUNCTION("""COMPUTED_VALUE"""),4163)</f>
        <v>4163</v>
      </c>
      <c r="H97" s="10">
        <f ca="1">IFERROR(__xludf.DUMMYFUNCTION("""COMPUTED_VALUE"""),49956)</f>
        <v>49956</v>
      </c>
    </row>
    <row r="98" spans="1:8">
      <c r="A98" s="8" t="str">
        <f ca="1">IFERROR(__xludf.DUMMYFUNCTION("""COMPUTED_VALUE"""),"AS-M-SEENSPIRE-CARDS")</f>
        <v>AS-M-SEENSPIRE-CARDS</v>
      </c>
      <c r="B98" s="8" t="str">
        <f ca="1">IFERROR(__xludf.DUMMYFUNCTION("""COMPUTED_VALUE"""),"Cards 1000")</f>
        <v>Cards 1000</v>
      </c>
      <c r="C98" s="9" t="str">
        <f ca="1">IFERROR(__xludf.DUMMYFUNCTION("""COMPUTED_VALUE"""),"Platform")</f>
        <v>Platform</v>
      </c>
      <c r="D98" s="8" t="str">
        <f ca="1">IFERROR(__xludf.DUMMYFUNCTION("""COMPUTED_VALUE"""),"Recurring")</f>
        <v>Recurring</v>
      </c>
      <c r="E98" s="9"/>
      <c r="F98" s="10" t="str">
        <f ca="1">IFERROR(__xludf.DUMMYFUNCTION("""COMPUTED_VALUE"""),"CAD")</f>
        <v>CAD</v>
      </c>
      <c r="G98" s="10">
        <f ca="1">IFERROR(__xludf.DUMMYFUNCTION("""COMPUTED_VALUE"""),6661)</f>
        <v>6661</v>
      </c>
      <c r="H98" s="10">
        <f ca="1">IFERROR(__xludf.DUMMYFUNCTION("""COMPUTED_VALUE"""),79932)</f>
        <v>79932</v>
      </c>
    </row>
    <row r="99" spans="1:8">
      <c r="A99" s="8" t="str">
        <f ca="1">IFERROR(__xludf.DUMMYFUNCTION("""COMPUTED_VALUE"""),"AS-M-SEENSPIRE-CARDS")</f>
        <v>AS-M-SEENSPIRE-CARDS</v>
      </c>
      <c r="B99" s="8" t="str">
        <f ca="1">IFERROR(__xludf.DUMMYFUNCTION("""COMPUTED_VALUE"""),"Cards 3000")</f>
        <v>Cards 3000</v>
      </c>
      <c r="C99" s="9" t="str">
        <f ca="1">IFERROR(__xludf.DUMMYFUNCTION("""COMPUTED_VALUE"""),"Platform")</f>
        <v>Platform</v>
      </c>
      <c r="D99" s="8" t="str">
        <f ca="1">IFERROR(__xludf.DUMMYFUNCTION("""COMPUTED_VALUE"""),"Recurring")</f>
        <v>Recurring</v>
      </c>
      <c r="E99" s="9"/>
      <c r="F99" s="10" t="str">
        <f ca="1">IFERROR(__xludf.DUMMYFUNCTION("""COMPUTED_VALUE"""),"CAD")</f>
        <v>CAD</v>
      </c>
      <c r="G99" s="10">
        <f ca="1">IFERROR(__xludf.DUMMYFUNCTION("""COMPUTED_VALUE"""),13323)</f>
        <v>13323</v>
      </c>
      <c r="H99" s="10">
        <f ca="1">IFERROR(__xludf.DUMMYFUNCTION("""COMPUTED_VALUE"""),159876)</f>
        <v>159876</v>
      </c>
    </row>
    <row r="100" spans="1:8">
      <c r="A100" s="8" t="str">
        <f ca="1">IFERROR(__xludf.DUMMYFUNCTION("""COMPUTED_VALUE"""),"AS-OMNI-C-CL")</f>
        <v>AS-OMNI-C-CL</v>
      </c>
      <c r="B100" s="8" t="str">
        <f ca="1">IFERROR(__xludf.DUMMYFUNCTION("""COMPUTED_VALUE"""),"Annual Plan AS-OMNI-C-CL")</f>
        <v>Annual Plan AS-OMNI-C-CL</v>
      </c>
      <c r="C100" s="9" t="str">
        <f ca="1">IFERROR(__xludf.DUMMYFUNCTION("""COMPUTED_VALUE"""),"Platform")</f>
        <v>Platform</v>
      </c>
      <c r="D100" s="8" t="str">
        <f ca="1">IFERROR(__xludf.DUMMYFUNCTION("""COMPUTED_VALUE"""),"Recurring")</f>
        <v>Recurring</v>
      </c>
      <c r="E100" s="9" t="str">
        <f ca="1">IFERROR(__xludf.DUMMYFUNCTION("""COMPUTED_VALUE"""),"Appspace Cloud Subscription. Appspace Cloud access to all Appspace platform features for 50 devices, Premium Support, 50 GB cloud storage, and 50 GB/month cloud bandwidth.")</f>
        <v>Appspace Cloud Subscription. Appspace Cloud access to all Appspace platform features for 50 devices, Premium Support, 50 GB cloud storage, and 50 GB/month cloud bandwidth.</v>
      </c>
      <c r="F100" s="10" t="str">
        <f ca="1">IFERROR(__xludf.DUMMYFUNCTION("""COMPUTED_VALUE"""),"CAD")</f>
        <v>CAD</v>
      </c>
      <c r="G100" s="10">
        <f ca="1">IFERROR(__xludf.DUMMYFUNCTION("""COMPUTED_VALUE"""),3028)</f>
        <v>3028</v>
      </c>
      <c r="H100" s="10">
        <f ca="1">IFERROR(__xludf.DUMMYFUNCTION("""COMPUTED_VALUE"""),36336)</f>
        <v>36336</v>
      </c>
    </row>
    <row r="101" spans="1:8">
      <c r="A101" s="8" t="str">
        <f ca="1">IFERROR(__xludf.DUMMYFUNCTION("""COMPUTED_VALUE"""),"AS-OMNI-C-CL-EDU")</f>
        <v>AS-OMNI-C-CL-EDU</v>
      </c>
      <c r="B101" s="8" t="str">
        <f ca="1">IFERROR(__xludf.DUMMYFUNCTION("""COMPUTED_VALUE"""),"Annual Plan AS-OMNI-C-CL-EDU")</f>
        <v>Annual Plan AS-OMNI-C-CL-EDU</v>
      </c>
      <c r="C101" s="9" t="str">
        <f ca="1">IFERROR(__xludf.DUMMYFUNCTION("""COMPUTED_VALUE"""),"Platform")</f>
        <v>Platform</v>
      </c>
      <c r="D101" s="8" t="str">
        <f ca="1">IFERROR(__xludf.DUMMYFUNCTION("""COMPUTED_VALUE"""),"Recurring")</f>
        <v>Recurring</v>
      </c>
      <c r="E101" s="9" t="str">
        <f ca="1">IFERROR(__xludf.DUMMYFUNCTION("""COMPUTED_VALUE"""),"Appspace Education Cloud Subscription. Appspace Cloud access to all Appspace platform features for 50 devices, Premium Support, 50 GB cloud storage, and 50 GB/month cloud bandwidth.")</f>
        <v>Appspace Education Cloud Subscription. Appspace Cloud access to all Appspace platform features for 50 devices, Premium Support, 50 GB cloud storage, and 50 GB/month cloud bandwidth.</v>
      </c>
      <c r="F101" s="10" t="str">
        <f ca="1">IFERROR(__xludf.DUMMYFUNCTION("""COMPUTED_VALUE"""),"CAD")</f>
        <v>CAD</v>
      </c>
      <c r="G101" s="10">
        <f ca="1">IFERROR(__xludf.DUMMYFUNCTION("""COMPUTED_VALUE"""),2725)</f>
        <v>2725</v>
      </c>
      <c r="H101" s="10">
        <f ca="1">IFERROR(__xludf.DUMMYFUNCTION("""COMPUTED_VALUE"""),32700)</f>
        <v>32700</v>
      </c>
    </row>
    <row r="102" spans="1:8">
      <c r="A102" s="8" t="str">
        <f ca="1">IFERROR(__xludf.DUMMYFUNCTION("""COMPUTED_VALUE"""),"AS-OMNI-C-OP")</f>
        <v>AS-OMNI-C-OP</v>
      </c>
      <c r="B102" s="8" t="str">
        <f ca="1">IFERROR(__xludf.DUMMYFUNCTION("""COMPUTED_VALUE"""),"Annual Plan AS-OMNI-C-OP")</f>
        <v>Annual Plan AS-OMNI-C-OP</v>
      </c>
      <c r="C102" s="9" t="str">
        <f ca="1">IFERROR(__xludf.DUMMYFUNCTION("""COMPUTED_VALUE"""),"Platform")</f>
        <v>Platform</v>
      </c>
      <c r="D102" s="8" t="str">
        <f ca="1">IFERROR(__xludf.DUMMYFUNCTION("""COMPUTED_VALUE"""),"Recurring")</f>
        <v>Recurring</v>
      </c>
      <c r="E102" s="9" t="str">
        <f ca="1">IFERROR(__xludf.DUMMYFUNCTION("""COMPUTED_VALUE"""),"Appspace On-Prem Subscription. Self-managed on-prem, cloud or hybrid access to all Appspace platform features for 50 devices, Premium Support, 50 GB cloud storage, and 50 GB/month cloud bandwidth.")</f>
        <v>Appspace On-Prem Subscription. Self-managed on-prem, cloud or hybrid access to all Appspace platform features for 50 devices, Premium Support, 50 GB cloud storage, and 50 GB/month cloud bandwidth.</v>
      </c>
      <c r="F102" s="10" t="str">
        <f ca="1">IFERROR(__xludf.DUMMYFUNCTION("""COMPUTED_VALUE"""),"CAD")</f>
        <v>CAD</v>
      </c>
      <c r="G102" s="10">
        <f ca="1">IFERROR(__xludf.DUMMYFUNCTION("""COMPUTED_VALUE"""),6056)</f>
        <v>6056</v>
      </c>
      <c r="H102" s="10">
        <f ca="1">IFERROR(__xludf.DUMMYFUNCTION("""COMPUTED_VALUE"""),72672)</f>
        <v>72672</v>
      </c>
    </row>
    <row r="103" spans="1:8">
      <c r="A103" s="8" t="str">
        <f ca="1">IFERROR(__xludf.DUMMYFUNCTION("""COMPUTED_VALUE"""),"AS-OMNI-C-PV")</f>
        <v>AS-OMNI-C-PV</v>
      </c>
      <c r="B103" s="8" t="str">
        <f ca="1">IFERROR(__xludf.DUMMYFUNCTION("""COMPUTED_VALUE"""),"Annual Plan AS-OMNI-C-PV")</f>
        <v>Annual Plan AS-OMNI-C-PV</v>
      </c>
      <c r="C103" s="9" t="str">
        <f ca="1">IFERROR(__xludf.DUMMYFUNCTION("""COMPUTED_VALUE"""),"Platform")</f>
        <v>Platform</v>
      </c>
      <c r="D103" s="8" t="str">
        <f ca="1">IFERROR(__xludf.DUMMYFUNCTION("""COMPUTED_VALUE"""),"Recurring")</f>
        <v>Recurring</v>
      </c>
      <c r="E103" s="9" t="str">
        <f ca="1">IFERROR(__xludf.DUMMYFUNCTION("""COMPUTED_VALUE"""),"Appspace Private Cloud Subscription. Appspace private cloud instance access to all Appspace platform features for 50 devices, Premium Support, 100 GB cloud storage, and 100 GB/month cloud bandwidth.")</f>
        <v>Appspace Private Cloud Subscription. Appspace private cloud instance access to all Appspace platform features for 50 devices, Premium Support, 100 GB cloud storage, and 100 GB/month cloud bandwidth.</v>
      </c>
      <c r="F103" s="10" t="str">
        <f ca="1">IFERROR(__xludf.DUMMYFUNCTION("""COMPUTED_VALUE"""),"CAD")</f>
        <v>CAD</v>
      </c>
      <c r="G103" s="10">
        <f ca="1">IFERROR(__xludf.DUMMYFUNCTION("""COMPUTED_VALUE"""),4542)</f>
        <v>4542</v>
      </c>
      <c r="H103" s="10">
        <f ca="1">IFERROR(__xludf.DUMMYFUNCTION("""COMPUTED_VALUE"""),54504)</f>
        <v>54504</v>
      </c>
    </row>
    <row r="104" spans="1:8">
      <c r="A104" s="8" t="str">
        <f ca="1">IFERROR(__xludf.DUMMYFUNCTION("""COMPUTED_VALUE"""),"AS-OMNI-C-PV-EDU")</f>
        <v>AS-OMNI-C-PV-EDU</v>
      </c>
      <c r="B104" s="8" t="str">
        <f ca="1">IFERROR(__xludf.DUMMYFUNCTION("""COMPUTED_VALUE"""),"Annual Plan AS-OMNI-C-PV-EDU")</f>
        <v>Annual Plan AS-OMNI-C-PV-EDU</v>
      </c>
      <c r="C104" s="9" t="str">
        <f ca="1">IFERROR(__xludf.DUMMYFUNCTION("""COMPUTED_VALUE"""),"Platform")</f>
        <v>Platform</v>
      </c>
      <c r="D104" s="8" t="str">
        <f ca="1">IFERROR(__xludf.DUMMYFUNCTION("""COMPUTED_VALUE"""),"Recurring")</f>
        <v>Recurring</v>
      </c>
      <c r="E104" s="9" t="str">
        <f ca="1">IFERROR(__xludf.DUMMYFUNCTION("""COMPUTED_VALUE"""),"Appspace Education Private Cloud Subscription. Appspace private cloud instance access to all Appspace platform features for 50 devices, Premium Support, 100 GB cloud storage, and 100 GB/month cloud bandwidth.")</f>
        <v>Appspace Education Private Cloud Subscription. Appspace private cloud instance access to all Appspace platform features for 50 devices, Premium Support, 100 GB cloud storage, and 100 GB/month cloud bandwidth.</v>
      </c>
      <c r="F104" s="10" t="str">
        <f ca="1">IFERROR(__xludf.DUMMYFUNCTION("""COMPUTED_VALUE"""),"CAD")</f>
        <v>CAD</v>
      </c>
      <c r="G104" s="10">
        <f ca="1">IFERROR(__xludf.DUMMYFUNCTION("""COMPUTED_VALUE"""),4088)</f>
        <v>4088</v>
      </c>
      <c r="H104" s="10">
        <f ca="1">IFERROR(__xludf.DUMMYFUNCTION("""COMPUTED_VALUE"""),49056)</f>
        <v>49056</v>
      </c>
    </row>
    <row r="105" spans="1:8">
      <c r="A105" s="8" t="str">
        <f ca="1">IFERROR(__xludf.DUMMYFUNCTION("""COMPUTED_VALUE"""),"AS-OMNI-D2-CL")</f>
        <v>AS-OMNI-D2-CL</v>
      </c>
      <c r="B105" s="8" t="str">
        <f ca="1">IFERROR(__xludf.DUMMYFUNCTION("""COMPUTED_VALUE"""),"Annual Plan AS-OMNI-D2-CL")</f>
        <v>Annual Plan AS-OMNI-D2-CL</v>
      </c>
      <c r="C105" s="9" t="str">
        <f ca="1">IFERROR(__xludf.DUMMYFUNCTION("""COMPUTED_VALUE"""),"Platform")</f>
        <v>Platform</v>
      </c>
      <c r="D105" s="8" t="str">
        <f ca="1">IFERROR(__xludf.DUMMYFUNCTION("""COMPUTED_VALUE"""),"Recurring")</f>
        <v>Recurring</v>
      </c>
      <c r="E105" s="9" t="str">
        <f ca="1">IFERROR(__xludf.DUMMYFUNCTION("""COMPUTED_VALUE"""),"Appspace Cloud Subscription. Appspace Cloud access to all Appspace platform features for 500 devices, Premium Support, 500 GB cloud storage, and 500 GB/month cloud bandwidth.")</f>
        <v>Appspace Cloud Subscription. Appspace Cloud access to all Appspace platform features for 500 devices, Premium Support, 500 GB cloud storage, and 500 GB/month cloud bandwidth.</v>
      </c>
      <c r="F105" s="10" t="str">
        <f ca="1">IFERROR(__xludf.DUMMYFUNCTION("""COMPUTED_VALUE"""),"CAD")</f>
        <v>CAD</v>
      </c>
      <c r="G105" s="10">
        <f ca="1">IFERROR(__xludf.DUMMYFUNCTION("""COMPUTED_VALUE"""),11203)</f>
        <v>11203</v>
      </c>
      <c r="H105" s="10">
        <f ca="1">IFERROR(__xludf.DUMMYFUNCTION("""COMPUTED_VALUE"""),134436)</f>
        <v>134436</v>
      </c>
    </row>
    <row r="106" spans="1:8">
      <c r="A106" s="8" t="str">
        <f ca="1">IFERROR(__xludf.DUMMYFUNCTION("""COMPUTED_VALUE"""),"AS-OMNI-D2-OP")</f>
        <v>AS-OMNI-D2-OP</v>
      </c>
      <c r="B106" s="8" t="str">
        <f ca="1">IFERROR(__xludf.DUMMYFUNCTION("""COMPUTED_VALUE"""),"Annual Plan AS-OMNI-D2-OP")</f>
        <v>Annual Plan AS-OMNI-D2-OP</v>
      </c>
      <c r="C106" s="9" t="str">
        <f ca="1">IFERROR(__xludf.DUMMYFUNCTION("""COMPUTED_VALUE"""),"Platform")</f>
        <v>Platform</v>
      </c>
      <c r="D106" s="8" t="str">
        <f ca="1">IFERROR(__xludf.DUMMYFUNCTION("""COMPUTED_VALUE"""),"Recurring")</f>
        <v>Recurring</v>
      </c>
      <c r="E106" s="9" t="str">
        <f ca="1">IFERROR(__xludf.DUMMYFUNCTION("""COMPUTED_VALUE"""),"Appspace On-Prem Subscription. Self-managed on-prem, cloud or hybrid access to all Appspace platform features for 500 devices, Premium Support, 500 GB cloud storage, and 500 GB/month cloud bandwidth.")</f>
        <v>Appspace On-Prem Subscription. Self-managed on-prem, cloud or hybrid access to all Appspace platform features for 500 devices, Premium Support, 500 GB cloud storage, and 500 GB/month cloud bandwidth.</v>
      </c>
      <c r="F106" s="10" t="str">
        <f ca="1">IFERROR(__xludf.DUMMYFUNCTION("""COMPUTED_VALUE"""),"CAD")</f>
        <v>CAD</v>
      </c>
      <c r="G106" s="10">
        <f ca="1">IFERROR(__xludf.DUMMYFUNCTION("""COMPUTED_VALUE"""),22406)</f>
        <v>22406</v>
      </c>
      <c r="H106" s="10">
        <f ca="1">IFERROR(__xludf.DUMMYFUNCTION("""COMPUTED_VALUE"""),268872)</f>
        <v>268872</v>
      </c>
    </row>
    <row r="107" spans="1:8">
      <c r="A107" s="8" t="str">
        <f ca="1">IFERROR(__xludf.DUMMYFUNCTION("""COMPUTED_VALUE"""),"AS-OMNI-D2-PV")</f>
        <v>AS-OMNI-D2-PV</v>
      </c>
      <c r="B107" s="8" t="str">
        <f ca="1">IFERROR(__xludf.DUMMYFUNCTION("""COMPUTED_VALUE"""),"Annual Plan AS-OMNI-D2-PV")</f>
        <v>Annual Plan AS-OMNI-D2-PV</v>
      </c>
      <c r="C107" s="9" t="str">
        <f ca="1">IFERROR(__xludf.DUMMYFUNCTION("""COMPUTED_VALUE"""),"Platform")</f>
        <v>Platform</v>
      </c>
      <c r="D107" s="8" t="str">
        <f ca="1">IFERROR(__xludf.DUMMYFUNCTION("""COMPUTED_VALUE"""),"Recurring")</f>
        <v>Recurring</v>
      </c>
      <c r="E107" s="9" t="str">
        <f ca="1">IFERROR(__xludf.DUMMYFUNCTION("""COMPUTED_VALUE"""),"Appspace Private Cloud Subscription. Appspace private cloud instance access to all Appspace platform features for 500 devices, Premium Support, 1000 GB cloud storage, and 1000GB/month cloud bandwidth.")</f>
        <v>Appspace Private Cloud Subscription. Appspace private cloud instance access to all Appspace platform features for 500 devices, Premium Support, 1000 GB cloud storage, and 1000GB/month cloud bandwidth.</v>
      </c>
      <c r="F107" s="10" t="str">
        <f ca="1">IFERROR(__xludf.DUMMYFUNCTION("""COMPUTED_VALUE"""),"CAD")</f>
        <v>CAD</v>
      </c>
      <c r="G107" s="10">
        <f ca="1">IFERROR(__xludf.DUMMYFUNCTION("""COMPUTED_VALUE"""),16805)</f>
        <v>16805</v>
      </c>
      <c r="H107" s="10">
        <f ca="1">IFERROR(__xludf.DUMMYFUNCTION("""COMPUTED_VALUE"""),201660)</f>
        <v>201660</v>
      </c>
    </row>
    <row r="108" spans="1:8">
      <c r="A108" s="8" t="str">
        <f ca="1">IFERROR(__xludf.DUMMYFUNCTION("""COMPUTED_VALUE"""),"AS-OMNI-D-CL")</f>
        <v>AS-OMNI-D-CL</v>
      </c>
      <c r="B108" s="8" t="str">
        <f ca="1">IFERROR(__xludf.DUMMYFUNCTION("""COMPUTED_VALUE"""),"Annual Plan AS-OMNI-D-CL")</f>
        <v>Annual Plan AS-OMNI-D-CL</v>
      </c>
      <c r="C108" s="9" t="str">
        <f ca="1">IFERROR(__xludf.DUMMYFUNCTION("""COMPUTED_VALUE"""),"Platform")</f>
        <v>Platform</v>
      </c>
      <c r="D108" s="8" t="str">
        <f ca="1">IFERROR(__xludf.DUMMYFUNCTION("""COMPUTED_VALUE"""),"Recurring")</f>
        <v>Recurring</v>
      </c>
      <c r="E108" s="9" t="str">
        <f ca="1">IFERROR(__xludf.DUMMYFUNCTION("""COMPUTED_VALUE"""),"Appspace Cloud Subscription. Appspace Cloud access to all Appspace platform features for 250 devices, Premium Support, 250 GB cloud storage, and 250 GB/month cloud bandwidth.")</f>
        <v>Appspace Cloud Subscription. Appspace Cloud access to all Appspace platform features for 250 devices, Premium Support, 250 GB cloud storage, and 250 GB/month cloud bandwidth.</v>
      </c>
      <c r="F108" s="10" t="str">
        <f ca="1">IFERROR(__xludf.DUMMYFUNCTION("""COMPUTED_VALUE"""),"CAD")</f>
        <v>CAD</v>
      </c>
      <c r="G108" s="10">
        <f ca="1">IFERROR(__xludf.DUMMYFUNCTION("""COMPUTED_VALUE"""),8190)</f>
        <v>8190</v>
      </c>
      <c r="H108" s="10">
        <f ca="1">IFERROR(__xludf.DUMMYFUNCTION("""COMPUTED_VALUE"""),98280)</f>
        <v>98280</v>
      </c>
    </row>
    <row r="109" spans="1:8">
      <c r="A109" s="8" t="str">
        <f ca="1">IFERROR(__xludf.DUMMYFUNCTION("""COMPUTED_VALUE"""),"AS-OMNI-D-CL-EDU")</f>
        <v>AS-OMNI-D-CL-EDU</v>
      </c>
      <c r="B109" s="8" t="str">
        <f ca="1">IFERROR(__xludf.DUMMYFUNCTION("""COMPUTED_VALUE"""),"Annual Plan AS-OMNI-D-CL-EDU")</f>
        <v>Annual Plan AS-OMNI-D-CL-EDU</v>
      </c>
      <c r="C109" s="9" t="str">
        <f ca="1">IFERROR(__xludf.DUMMYFUNCTION("""COMPUTED_VALUE"""),"Platform")</f>
        <v>Platform</v>
      </c>
      <c r="D109" s="8" t="str">
        <f ca="1">IFERROR(__xludf.DUMMYFUNCTION("""COMPUTED_VALUE"""),"Recurring")</f>
        <v>Recurring</v>
      </c>
      <c r="E109" s="9" t="str">
        <f ca="1">IFERROR(__xludf.DUMMYFUNCTION("""COMPUTED_VALUE"""),"Appspace Education Cloud Subscription. Appspace Cloud access to all Appspace platform features for 250 devices, Premium Support, 250 GB cloud storage, and 250 GB/month cloud bandwidth.")</f>
        <v>Appspace Education Cloud Subscription. Appspace Cloud access to all Appspace platform features for 250 devices, Premium Support, 250 GB cloud storage, and 250 GB/month cloud bandwidth.</v>
      </c>
      <c r="F109" s="10" t="str">
        <f ca="1">IFERROR(__xludf.DUMMYFUNCTION("""COMPUTED_VALUE"""),"CAD")</f>
        <v>CAD</v>
      </c>
      <c r="G109" s="10">
        <f ca="1">IFERROR(__xludf.DUMMYFUNCTION("""COMPUTED_VALUE"""),7371)</f>
        <v>7371</v>
      </c>
      <c r="H109" s="10">
        <f ca="1">IFERROR(__xludf.DUMMYFUNCTION("""COMPUTED_VALUE"""),88452)</f>
        <v>88452</v>
      </c>
    </row>
    <row r="110" spans="1:8">
      <c r="A110" s="8" t="str">
        <f ca="1">IFERROR(__xludf.DUMMYFUNCTION("""COMPUTED_VALUE"""),"AS-OMNI-D-OP")</f>
        <v>AS-OMNI-D-OP</v>
      </c>
      <c r="B110" s="8" t="str">
        <f ca="1">IFERROR(__xludf.DUMMYFUNCTION("""COMPUTED_VALUE"""),"Annual Plan AS-OMNI-D-OP")</f>
        <v>Annual Plan AS-OMNI-D-OP</v>
      </c>
      <c r="C110" s="9" t="str">
        <f ca="1">IFERROR(__xludf.DUMMYFUNCTION("""COMPUTED_VALUE"""),"Platform")</f>
        <v>Platform</v>
      </c>
      <c r="D110" s="8" t="str">
        <f ca="1">IFERROR(__xludf.DUMMYFUNCTION("""COMPUTED_VALUE"""),"Recurring")</f>
        <v>Recurring</v>
      </c>
      <c r="E110" s="9" t="str">
        <f ca="1">IFERROR(__xludf.DUMMYFUNCTION("""COMPUTED_VALUE"""),"Appspace On-Prem Subscription. Self-managed on-prem, cloud or hybrid access to all Appspace platform features for 250 devices, Premium Support, 250 GB cloud storage, and 250 GB/month cloud bandwidth.")</f>
        <v>Appspace On-Prem Subscription. Self-managed on-prem, cloud or hybrid access to all Appspace platform features for 250 devices, Premium Support, 250 GB cloud storage, and 250 GB/month cloud bandwidth.</v>
      </c>
      <c r="F110" s="10" t="str">
        <f ca="1">IFERROR(__xludf.DUMMYFUNCTION("""COMPUTED_VALUE"""),"CAD")</f>
        <v>CAD</v>
      </c>
      <c r="G110" s="8">
        <f ca="1">IFERROR(__xludf.DUMMYFUNCTION("""COMPUTED_VALUE"""),16381)</f>
        <v>16381</v>
      </c>
      <c r="H110" s="10">
        <f ca="1">IFERROR(__xludf.DUMMYFUNCTION("""COMPUTED_VALUE"""),196572)</f>
        <v>196572</v>
      </c>
    </row>
    <row r="111" spans="1:8">
      <c r="A111" s="8" t="str">
        <f ca="1">IFERROR(__xludf.DUMMYFUNCTION("""COMPUTED_VALUE"""),"AS-OMNI-D-PV")</f>
        <v>AS-OMNI-D-PV</v>
      </c>
      <c r="B111" s="8" t="str">
        <f ca="1">IFERROR(__xludf.DUMMYFUNCTION("""COMPUTED_VALUE"""),"Annual Plan AS-OMNI-D-PV")</f>
        <v>Annual Plan AS-OMNI-D-PV</v>
      </c>
      <c r="C111" s="9" t="str">
        <f ca="1">IFERROR(__xludf.DUMMYFUNCTION("""COMPUTED_VALUE"""),"Platform")</f>
        <v>Platform</v>
      </c>
      <c r="D111" s="8" t="str">
        <f ca="1">IFERROR(__xludf.DUMMYFUNCTION("""COMPUTED_VALUE"""),"Recurring")</f>
        <v>Recurring</v>
      </c>
      <c r="E111" s="9" t="str">
        <f ca="1">IFERROR(__xludf.DUMMYFUNCTION("""COMPUTED_VALUE"""),"Appspace Private Cloud Subscription. Appspace private cloud instance access to all Appspace platform features for 250 devices, Premium Support, 500 GB cloud storage, and 500GB/month cloud bandwidth.")</f>
        <v>Appspace Private Cloud Subscription. Appspace private cloud instance access to all Appspace platform features for 250 devices, Premium Support, 500 GB cloud storage, and 500GB/month cloud bandwidth.</v>
      </c>
      <c r="F111" s="8" t="str">
        <f ca="1">IFERROR(__xludf.DUMMYFUNCTION("""COMPUTED_VALUE"""),"CAD")</f>
        <v>CAD</v>
      </c>
      <c r="G111" s="8">
        <f ca="1">IFERROR(__xludf.DUMMYFUNCTION("""COMPUTED_VALUE"""),12286)</f>
        <v>12286</v>
      </c>
      <c r="H111" s="10">
        <f ca="1">IFERROR(__xludf.DUMMYFUNCTION("""COMPUTED_VALUE"""),147432)</f>
        <v>147432</v>
      </c>
    </row>
    <row r="112" spans="1:8">
      <c r="A112" s="8" t="str">
        <f ca="1">IFERROR(__xludf.DUMMYFUNCTION("""COMPUTED_VALUE"""),"AS-OMNI-D-PV-EDU")</f>
        <v>AS-OMNI-D-PV-EDU</v>
      </c>
      <c r="B112" s="8" t="str">
        <f ca="1">IFERROR(__xludf.DUMMYFUNCTION("""COMPUTED_VALUE"""),"Annual Plan AS-OMNI-D-PV-EDU")</f>
        <v>Annual Plan AS-OMNI-D-PV-EDU</v>
      </c>
      <c r="C112" s="9" t="str">
        <f ca="1">IFERROR(__xludf.DUMMYFUNCTION("""COMPUTED_VALUE"""),"Platform")</f>
        <v>Platform</v>
      </c>
      <c r="D112" s="8" t="str">
        <f ca="1">IFERROR(__xludf.DUMMYFUNCTION("""COMPUTED_VALUE"""),"Recurring")</f>
        <v>Recurring</v>
      </c>
      <c r="E112" s="9" t="str">
        <f ca="1">IFERROR(__xludf.DUMMYFUNCTION("""COMPUTED_VALUE"""),"Appspace Education Private Cloud Subscription. Appspace private cloud instance access to all Appspace platform features for 250 devices, Premium Support, 500 GB cloud storage, and 500GB/month cloud bandwidth.")</f>
        <v>Appspace Education Private Cloud Subscription. Appspace private cloud instance access to all Appspace platform features for 250 devices, Premium Support, 500 GB cloud storage, and 500GB/month cloud bandwidth.</v>
      </c>
      <c r="F112" s="8" t="str">
        <f ca="1">IFERROR(__xludf.DUMMYFUNCTION("""COMPUTED_VALUE"""),"CAD")</f>
        <v>CAD</v>
      </c>
      <c r="G112" s="8">
        <f ca="1">IFERROR(__xludf.DUMMYFUNCTION("""COMPUTED_VALUE"""),11058)</f>
        <v>11058</v>
      </c>
      <c r="H112" s="10">
        <f ca="1">IFERROR(__xludf.DUMMYFUNCTION("""COMPUTED_VALUE"""),132696)</f>
        <v>132696</v>
      </c>
    </row>
    <row r="113" spans="1:8">
      <c r="A113" s="8" t="str">
        <f ca="1">IFERROR(__xludf.DUMMYFUNCTION("""COMPUTED_VALUE"""),"AS-OMNI-E2-CL")</f>
        <v>AS-OMNI-E2-CL</v>
      </c>
      <c r="B113" s="8" t="str">
        <f ca="1">IFERROR(__xludf.DUMMYFUNCTION("""COMPUTED_VALUE"""),"Annual Plan AS-OMNI-E2-CL")</f>
        <v>Annual Plan AS-OMNI-E2-CL</v>
      </c>
      <c r="C113" s="9" t="str">
        <f ca="1">IFERROR(__xludf.DUMMYFUNCTION("""COMPUTED_VALUE"""),"Platform")</f>
        <v>Platform</v>
      </c>
      <c r="D113" s="8" t="str">
        <f ca="1">IFERROR(__xludf.DUMMYFUNCTION("""COMPUTED_VALUE"""),"Recurring")</f>
        <v>Recurring</v>
      </c>
      <c r="E113" s="9" t="str">
        <f ca="1">IFERROR(__xludf.DUMMYFUNCTION("""COMPUTED_VALUE"""),"Appspace Cloud Subscription. Appspace Cloud access to all Appspace platform features for 2,000 devices, Elite Support, 2,000 GB cloud storage, and 2,000 GB/month cloud bandwidth.")</f>
        <v>Appspace Cloud Subscription. Appspace Cloud access to all Appspace platform features for 2,000 devices, Elite Support, 2,000 GB cloud storage, and 2,000 GB/month cloud bandwidth.</v>
      </c>
      <c r="F113" s="10" t="str">
        <f ca="1">IFERROR(__xludf.DUMMYFUNCTION("""COMPUTED_VALUE"""),"CAD")</f>
        <v>CAD</v>
      </c>
      <c r="G113" s="8">
        <f ca="1">IFERROR(__xludf.DUMMYFUNCTION("""COMPUTED_VALUE"""),25873)</f>
        <v>25873</v>
      </c>
      <c r="H113" s="10">
        <f ca="1">IFERROR(__xludf.DUMMYFUNCTION("""COMPUTED_VALUE"""),310476)</f>
        <v>310476</v>
      </c>
    </row>
    <row r="114" spans="1:8">
      <c r="A114" s="8" t="str">
        <f ca="1">IFERROR(__xludf.DUMMYFUNCTION("""COMPUTED_VALUE"""),"AS-OMNI-E2-OP")</f>
        <v>AS-OMNI-E2-OP</v>
      </c>
      <c r="B114" s="8" t="str">
        <f ca="1">IFERROR(__xludf.DUMMYFUNCTION("""COMPUTED_VALUE"""),"Annual Plan AS-OMNI-E2-OP")</f>
        <v>Annual Plan AS-OMNI-E2-OP</v>
      </c>
      <c r="C114" s="9" t="str">
        <f ca="1">IFERROR(__xludf.DUMMYFUNCTION("""COMPUTED_VALUE"""),"Platform")</f>
        <v>Platform</v>
      </c>
      <c r="D114" s="8" t="str">
        <f ca="1">IFERROR(__xludf.DUMMYFUNCTION("""COMPUTED_VALUE"""),"Recurring")</f>
        <v>Recurring</v>
      </c>
      <c r="E114" s="9" t="str">
        <f ca="1">IFERROR(__xludf.DUMMYFUNCTION("""COMPUTED_VALUE"""),"Appspace On-Prem Subscription. Self-managed on-prem, cloud or hybrid access to all Appspace platform features for 2,000 devices, Elite Support, 2,000 GB cloud storage, and 2,000 GB/month cloud bandwidth.")</f>
        <v>Appspace On-Prem Subscription. Self-managed on-prem, cloud or hybrid access to all Appspace platform features for 2,000 devices, Elite Support, 2,000 GB cloud storage, and 2,000 GB/month cloud bandwidth.</v>
      </c>
      <c r="F114" s="10" t="str">
        <f ca="1">IFERROR(__xludf.DUMMYFUNCTION("""COMPUTED_VALUE"""),"CAD")</f>
        <v>CAD</v>
      </c>
      <c r="G114" s="8">
        <f ca="1">IFERROR(__xludf.DUMMYFUNCTION("""COMPUTED_VALUE"""),51747)</f>
        <v>51747</v>
      </c>
      <c r="H114" s="10">
        <f ca="1">IFERROR(__xludf.DUMMYFUNCTION("""COMPUTED_VALUE"""),620964)</f>
        <v>620964</v>
      </c>
    </row>
    <row r="115" spans="1:8">
      <c r="A115" s="8" t="str">
        <f ca="1">IFERROR(__xludf.DUMMYFUNCTION("""COMPUTED_VALUE"""),"AS-OMNI-E2-PV")</f>
        <v>AS-OMNI-E2-PV</v>
      </c>
      <c r="B115" s="8" t="str">
        <f ca="1">IFERROR(__xludf.DUMMYFUNCTION("""COMPUTED_VALUE"""),"Annual Plan AS-OMNI-E2-PV")</f>
        <v>Annual Plan AS-OMNI-E2-PV</v>
      </c>
      <c r="C115" s="9" t="str">
        <f ca="1">IFERROR(__xludf.DUMMYFUNCTION("""COMPUTED_VALUE"""),"Platform")</f>
        <v>Platform</v>
      </c>
      <c r="D115" s="8" t="str">
        <f ca="1">IFERROR(__xludf.DUMMYFUNCTION("""COMPUTED_VALUE"""),"Recurring")</f>
        <v>Recurring</v>
      </c>
      <c r="E115" s="9" t="str">
        <f ca="1">IFERROR(__xludf.DUMMYFUNCTION("""COMPUTED_VALUE"""),"Appspace Private Cloud Subscription. Appspace private cloud instance access to all Appspace platform features for 2,000 devices, Elite Support, 4,000 GB cloud storage, and 4,000 GB/month cloud bandwidth.")</f>
        <v>Appspace Private Cloud Subscription. Appspace private cloud instance access to all Appspace platform features for 2,000 devices, Elite Support, 4,000 GB cloud storage, and 4,000 GB/month cloud bandwidth.</v>
      </c>
      <c r="F115" s="10" t="str">
        <f ca="1">IFERROR(__xludf.DUMMYFUNCTION("""COMPUTED_VALUE"""),"CAD")</f>
        <v>CAD</v>
      </c>
      <c r="G115" s="8">
        <f ca="1">IFERROR(__xludf.DUMMYFUNCTION("""COMPUTED_VALUE"""),38810)</f>
        <v>38810</v>
      </c>
      <c r="H115" s="10">
        <f ca="1">IFERROR(__xludf.DUMMYFUNCTION("""COMPUTED_VALUE"""),465720)</f>
        <v>465720</v>
      </c>
    </row>
    <row r="116" spans="1:8">
      <c r="A116" s="8" t="str">
        <f ca="1">IFERROR(__xludf.DUMMYFUNCTION("""COMPUTED_VALUE"""),"AS-OMNI-E-CL")</f>
        <v>AS-OMNI-E-CL</v>
      </c>
      <c r="B116" s="8" t="str">
        <f ca="1">IFERROR(__xludf.DUMMYFUNCTION("""COMPUTED_VALUE"""),"Annual Plan AS-OMNI-E-CL")</f>
        <v>Annual Plan AS-OMNI-E-CL</v>
      </c>
      <c r="C116" s="9" t="str">
        <f ca="1">IFERROR(__xludf.DUMMYFUNCTION("""COMPUTED_VALUE"""),"Platform")</f>
        <v>Platform</v>
      </c>
      <c r="D116" s="8" t="str">
        <f ca="1">IFERROR(__xludf.DUMMYFUNCTION("""COMPUTED_VALUE"""),"Recurring")</f>
        <v>Recurring</v>
      </c>
      <c r="E116" s="9" t="str">
        <f ca="1">IFERROR(__xludf.DUMMYFUNCTION("""COMPUTED_VALUE"""),"Appspace Cloud Subscription. Appspace Cloud access to all Appspace platform features for 1,000 devices, Elite Support, 1,000 GB cloud storage, and 1,000 GB/month cloud bandwidth.")</f>
        <v>Appspace Cloud Subscription. Appspace Cloud access to all Appspace platform features for 1,000 devices, Elite Support, 1,000 GB cloud storage, and 1,000 GB/month cloud bandwidth.</v>
      </c>
      <c r="F116" s="10" t="str">
        <f ca="1">IFERROR(__xludf.DUMMYFUNCTION("""COMPUTED_VALUE"""),"CAD")</f>
        <v>CAD</v>
      </c>
      <c r="G116" s="8">
        <f ca="1">IFERROR(__xludf.DUMMYFUNCTION("""COMPUTED_VALUE"""),16396)</f>
        <v>16396</v>
      </c>
      <c r="H116" s="10">
        <f ca="1">IFERROR(__xludf.DUMMYFUNCTION("""COMPUTED_VALUE"""),196752)</f>
        <v>196752</v>
      </c>
    </row>
    <row r="117" spans="1:8">
      <c r="A117" s="8" t="str">
        <f ca="1">IFERROR(__xludf.DUMMYFUNCTION("""COMPUTED_VALUE"""),"AS-OMNI-E-CL-EDU")</f>
        <v>AS-OMNI-E-CL-EDU</v>
      </c>
      <c r="B117" s="8" t="str">
        <f ca="1">IFERROR(__xludf.DUMMYFUNCTION("""COMPUTED_VALUE"""),"Annual Plan AS-OMNI-E-CL-EDU")</f>
        <v>Annual Plan AS-OMNI-E-CL-EDU</v>
      </c>
      <c r="C117" s="9" t="str">
        <f ca="1">IFERROR(__xludf.DUMMYFUNCTION("""COMPUTED_VALUE"""),"Platform")</f>
        <v>Platform</v>
      </c>
      <c r="D117" s="8" t="str">
        <f ca="1">IFERROR(__xludf.DUMMYFUNCTION("""COMPUTED_VALUE"""),"Recurring")</f>
        <v>Recurring</v>
      </c>
      <c r="E117" s="9" t="str">
        <f ca="1">IFERROR(__xludf.DUMMYFUNCTION("""COMPUTED_VALUE"""),"Appspace Education Cloud Subscription. Appspace Cloud access to all Appspace platform features for 1,000 devices, Elite Support, 1,000 GB cloud storage, and 1,000 GB/month cloud bandwidth.")</f>
        <v>Appspace Education Cloud Subscription. Appspace Cloud access to all Appspace platform features for 1,000 devices, Elite Support, 1,000 GB cloud storage, and 1,000 GB/month cloud bandwidth.</v>
      </c>
      <c r="F117" s="10" t="str">
        <f ca="1">IFERROR(__xludf.DUMMYFUNCTION("""COMPUTED_VALUE"""),"CAD")</f>
        <v>CAD</v>
      </c>
      <c r="G117" s="8">
        <f ca="1">IFERROR(__xludf.DUMMYFUNCTION("""COMPUTED_VALUE"""),14756)</f>
        <v>14756</v>
      </c>
      <c r="H117" s="10">
        <f ca="1">IFERROR(__xludf.DUMMYFUNCTION("""COMPUTED_VALUE"""),177072)</f>
        <v>177072</v>
      </c>
    </row>
    <row r="118" spans="1:8">
      <c r="A118" s="8" t="str">
        <f ca="1">IFERROR(__xludf.DUMMYFUNCTION("""COMPUTED_VALUE"""),"AS-OMNI-E-OP")</f>
        <v>AS-OMNI-E-OP</v>
      </c>
      <c r="B118" s="8" t="str">
        <f ca="1">IFERROR(__xludf.DUMMYFUNCTION("""COMPUTED_VALUE"""),"Annual Plan AS-OMNI-E-OP")</f>
        <v>Annual Plan AS-OMNI-E-OP</v>
      </c>
      <c r="C118" s="9" t="str">
        <f ca="1">IFERROR(__xludf.DUMMYFUNCTION("""COMPUTED_VALUE"""),"Platform")</f>
        <v>Platform</v>
      </c>
      <c r="D118" s="8" t="str">
        <f ca="1">IFERROR(__xludf.DUMMYFUNCTION("""COMPUTED_VALUE"""),"Recurring")</f>
        <v>Recurring</v>
      </c>
      <c r="E118" s="9" t="str">
        <f ca="1">IFERROR(__xludf.DUMMYFUNCTION("""COMPUTED_VALUE"""),"Appspace On-Prem Subscription. Self-managed on-prem, cloud or hybrid access to all Appspace platform features for 1,000 devices, Elite Support, 1,000 GB cloud storage, and 1,000 GB/month cloud bandwidth.")</f>
        <v>Appspace On-Prem Subscription. Self-managed on-prem, cloud or hybrid access to all Appspace platform features for 1,000 devices, Elite Support, 1,000 GB cloud storage, and 1,000 GB/month cloud bandwidth.</v>
      </c>
      <c r="F118" s="10" t="str">
        <f ca="1">IFERROR(__xludf.DUMMYFUNCTION("""COMPUTED_VALUE"""),"CAD")</f>
        <v>CAD</v>
      </c>
      <c r="G118" s="8">
        <f ca="1">IFERROR(__xludf.DUMMYFUNCTION("""COMPUTED_VALUE"""),32792)</f>
        <v>32792</v>
      </c>
      <c r="H118" s="10">
        <f ca="1">IFERROR(__xludf.DUMMYFUNCTION("""COMPUTED_VALUE"""),393504)</f>
        <v>393504</v>
      </c>
    </row>
    <row r="119" spans="1:8">
      <c r="A119" s="8" t="str">
        <f ca="1">IFERROR(__xludf.DUMMYFUNCTION("""COMPUTED_VALUE"""),"AS-OMNI-E-PV")</f>
        <v>AS-OMNI-E-PV</v>
      </c>
      <c r="B119" s="8" t="str">
        <f ca="1">IFERROR(__xludf.DUMMYFUNCTION("""COMPUTED_VALUE"""),"Annual Plan AS-OMNI-E-PV")</f>
        <v>Annual Plan AS-OMNI-E-PV</v>
      </c>
      <c r="C119" s="9" t="str">
        <f ca="1">IFERROR(__xludf.DUMMYFUNCTION("""COMPUTED_VALUE"""),"Platform")</f>
        <v>Platform</v>
      </c>
      <c r="D119" s="8" t="str">
        <f ca="1">IFERROR(__xludf.DUMMYFUNCTION("""COMPUTED_VALUE"""),"Recurring")</f>
        <v>Recurring</v>
      </c>
      <c r="E119" s="9" t="str">
        <f ca="1">IFERROR(__xludf.DUMMYFUNCTION("""COMPUTED_VALUE"""),"Appspace Private Cloud Subscription. Appspace private cloud instance access to all Appspace platform features for 1,000 devices, Elite Support, 2,000 GB cloud storage, and 2,000 GB/month cloud bandwidth.")</f>
        <v>Appspace Private Cloud Subscription. Appspace private cloud instance access to all Appspace platform features for 1,000 devices, Elite Support, 2,000 GB cloud storage, and 2,000 GB/month cloud bandwidth.</v>
      </c>
      <c r="F119" s="10" t="str">
        <f ca="1">IFERROR(__xludf.DUMMYFUNCTION("""COMPUTED_VALUE"""),"CAD")</f>
        <v>CAD</v>
      </c>
      <c r="G119" s="8">
        <f ca="1">IFERROR(__xludf.DUMMYFUNCTION("""COMPUTED_VALUE"""),24594)</f>
        <v>24594</v>
      </c>
      <c r="H119" s="10">
        <f ca="1">IFERROR(__xludf.DUMMYFUNCTION("""COMPUTED_VALUE"""),295128)</f>
        <v>295128</v>
      </c>
    </row>
    <row r="120" spans="1:8">
      <c r="A120" s="8" t="str">
        <f ca="1">IFERROR(__xludf.DUMMYFUNCTION("""COMPUTED_VALUE"""),"AS-OMNI-E-PV-EDU")</f>
        <v>AS-OMNI-E-PV-EDU</v>
      </c>
      <c r="B120" s="8" t="str">
        <f ca="1">IFERROR(__xludf.DUMMYFUNCTION("""COMPUTED_VALUE"""),"Annual Plan AS-OMNI-E-PV-EDU")</f>
        <v>Annual Plan AS-OMNI-E-PV-EDU</v>
      </c>
      <c r="C120" s="9" t="str">
        <f ca="1">IFERROR(__xludf.DUMMYFUNCTION("""COMPUTED_VALUE"""),"Platform")</f>
        <v>Platform</v>
      </c>
      <c r="D120" s="8" t="str">
        <f ca="1">IFERROR(__xludf.DUMMYFUNCTION("""COMPUTED_VALUE"""),"Recurring")</f>
        <v>Recurring</v>
      </c>
      <c r="E120" s="9" t="str">
        <f ca="1">IFERROR(__xludf.DUMMYFUNCTION("""COMPUTED_VALUE"""),"Appspace Education Private Cloud Subscription. Appspace private cloud instance access to all Appspace platform features for 1,000 devices, Elite Support, 2,000 GB cloud storage, and 2,000 GB/month cloud bandwidth.")</f>
        <v>Appspace Education Private Cloud Subscription. Appspace private cloud instance access to all Appspace platform features for 1,000 devices, Elite Support, 2,000 GB cloud storage, and 2,000 GB/month cloud bandwidth.</v>
      </c>
      <c r="F120" s="8" t="str">
        <f ca="1">IFERROR(__xludf.DUMMYFUNCTION("""COMPUTED_VALUE"""),"CAD")</f>
        <v>CAD</v>
      </c>
      <c r="G120" s="8">
        <f ca="1">IFERROR(__xludf.DUMMYFUNCTION("""COMPUTED_VALUE"""),22134)</f>
        <v>22134</v>
      </c>
      <c r="H120" s="10">
        <f ca="1">IFERROR(__xludf.DUMMYFUNCTION("""COMPUTED_VALUE"""),265608)</f>
        <v>265608</v>
      </c>
    </row>
    <row r="121" spans="1:8">
      <c r="A121" s="8" t="str">
        <f ca="1">IFERROR(__xludf.DUMMYFUNCTION("""COMPUTED_VALUE"""),"AS-OMNI-F-CL")</f>
        <v>AS-OMNI-F-CL</v>
      </c>
      <c r="B121" s="8" t="str">
        <f ca="1">IFERROR(__xludf.DUMMYFUNCTION("""COMPUTED_VALUE"""),"Annual Plan AS-OMNI-F-CL")</f>
        <v>Annual Plan AS-OMNI-F-CL</v>
      </c>
      <c r="C121" s="9" t="str">
        <f ca="1">IFERROR(__xludf.DUMMYFUNCTION("""COMPUTED_VALUE"""),"Platform")</f>
        <v>Platform</v>
      </c>
      <c r="D121" s="8" t="str">
        <f ca="1">IFERROR(__xludf.DUMMYFUNCTION("""COMPUTED_VALUE"""),"Recurring")</f>
        <v>Recurring</v>
      </c>
      <c r="E121" s="9" t="str">
        <f ca="1">IFERROR(__xludf.DUMMYFUNCTION("""COMPUTED_VALUE"""),"Appspace Cloud Subscription. Appspace Cloud access to all Appspace platform features for 3,000 devices, Elite Support, 3,000 GB cloud storage, and 3,000 GB/month cloud bandwidth.")</f>
        <v>Appspace Cloud Subscription. Appspace Cloud access to all Appspace platform features for 3,000 devices, Elite Support, 3,000 GB cloud storage, and 3,000 GB/month cloud bandwidth.</v>
      </c>
      <c r="F121" s="10" t="str">
        <f ca="1">IFERROR(__xludf.DUMMYFUNCTION("""COMPUTED_VALUE"""),"CAD")</f>
        <v>CAD</v>
      </c>
      <c r="G121" s="8">
        <f ca="1">IFERROR(__xludf.DUMMYFUNCTION("""COMPUTED_VALUE"""),33640)</f>
        <v>33640</v>
      </c>
      <c r="H121" s="10">
        <f ca="1">IFERROR(__xludf.DUMMYFUNCTION("""COMPUTED_VALUE"""),403680)</f>
        <v>403680</v>
      </c>
    </row>
    <row r="122" spans="1:8">
      <c r="A122" s="8" t="str">
        <f ca="1">IFERROR(__xludf.DUMMYFUNCTION("""COMPUTED_VALUE"""),"AS-OMNI-F-CL-EDU")</f>
        <v>AS-OMNI-F-CL-EDU</v>
      </c>
      <c r="B122" s="8" t="str">
        <f ca="1">IFERROR(__xludf.DUMMYFUNCTION("""COMPUTED_VALUE"""),"Annual Plan AS-OMNI-F-CL-EDU")</f>
        <v>Annual Plan AS-OMNI-F-CL-EDU</v>
      </c>
      <c r="C122" s="9" t="str">
        <f ca="1">IFERROR(__xludf.DUMMYFUNCTION("""COMPUTED_VALUE"""),"Platform")</f>
        <v>Platform</v>
      </c>
      <c r="D122" s="8" t="str">
        <f ca="1">IFERROR(__xludf.DUMMYFUNCTION("""COMPUTED_VALUE"""),"Recurring")</f>
        <v>Recurring</v>
      </c>
      <c r="E122" s="9" t="str">
        <f ca="1">IFERROR(__xludf.DUMMYFUNCTION("""COMPUTED_VALUE"""),"Appspace Education Cloud Subscription. Appspace Cloud access to all Appspace platform features for 3,000 devices, Elite Support, 3,000 GB cloud storage, and 3,000 GB/month cloud bandwidth.")</f>
        <v>Appspace Education Cloud Subscription. Appspace Cloud access to all Appspace platform features for 3,000 devices, Elite Support, 3,000 GB cloud storage, and 3,000 GB/month cloud bandwidth.</v>
      </c>
      <c r="F122" s="10" t="str">
        <f ca="1">IFERROR(__xludf.DUMMYFUNCTION("""COMPUTED_VALUE"""),"CAD")</f>
        <v>CAD</v>
      </c>
      <c r="G122" s="8">
        <f ca="1">IFERROR(__xludf.DUMMYFUNCTION("""COMPUTED_VALUE"""),30279)</f>
        <v>30279</v>
      </c>
      <c r="H122" s="10">
        <f ca="1">IFERROR(__xludf.DUMMYFUNCTION("""COMPUTED_VALUE"""),363348)</f>
        <v>363348</v>
      </c>
    </row>
    <row r="123" spans="1:8">
      <c r="A123" s="8" t="str">
        <f ca="1">IFERROR(__xludf.DUMMYFUNCTION("""COMPUTED_VALUE"""),"AS-OMNI-F-OP")</f>
        <v>AS-OMNI-F-OP</v>
      </c>
      <c r="B123" s="8" t="str">
        <f ca="1">IFERROR(__xludf.DUMMYFUNCTION("""COMPUTED_VALUE"""),"Annual Plan AS-OMNI-F-OP")</f>
        <v>Annual Plan AS-OMNI-F-OP</v>
      </c>
      <c r="C123" s="9" t="str">
        <f ca="1">IFERROR(__xludf.DUMMYFUNCTION("""COMPUTED_VALUE"""),"Platform")</f>
        <v>Platform</v>
      </c>
      <c r="D123" s="8" t="str">
        <f ca="1">IFERROR(__xludf.DUMMYFUNCTION("""COMPUTED_VALUE"""),"Recurring")</f>
        <v>Recurring</v>
      </c>
      <c r="E123" s="9" t="str">
        <f ca="1">IFERROR(__xludf.DUMMYFUNCTION("""COMPUTED_VALUE"""),"Appspace On-Prem Subscription. Self-managed on-prem, cloud or hybrid access to all Appspace platform features for 3,000 devices, Elite Support, 3,000 GB cloud storage, and 3,000 GB/month cloud bandwidth.")</f>
        <v>Appspace On-Prem Subscription. Self-managed on-prem, cloud or hybrid access to all Appspace platform features for 3,000 devices, Elite Support, 3,000 GB cloud storage, and 3,000 GB/month cloud bandwidth.</v>
      </c>
      <c r="F123" s="10" t="str">
        <f ca="1">IFERROR(__xludf.DUMMYFUNCTION("""COMPUTED_VALUE"""),"CAD")</f>
        <v>CAD</v>
      </c>
      <c r="G123" s="8">
        <f ca="1">IFERROR(__xludf.DUMMYFUNCTION("""COMPUTED_VALUE"""),67280)</f>
        <v>67280</v>
      </c>
      <c r="H123" s="10">
        <f ca="1">IFERROR(__xludf.DUMMYFUNCTION("""COMPUTED_VALUE"""),807360)</f>
        <v>807360</v>
      </c>
    </row>
    <row r="124" spans="1:8">
      <c r="A124" s="8" t="str">
        <f ca="1">IFERROR(__xludf.DUMMYFUNCTION("""COMPUTED_VALUE"""),"AS-OMNI-F-PV")</f>
        <v>AS-OMNI-F-PV</v>
      </c>
      <c r="B124" s="8" t="str">
        <f ca="1">IFERROR(__xludf.DUMMYFUNCTION("""COMPUTED_VALUE"""),"Annual Plan AS-OMNI-F-PV")</f>
        <v>Annual Plan AS-OMNI-F-PV</v>
      </c>
      <c r="C124" s="9" t="str">
        <f ca="1">IFERROR(__xludf.DUMMYFUNCTION("""COMPUTED_VALUE"""),"Platform")</f>
        <v>Platform</v>
      </c>
      <c r="D124" s="8" t="str">
        <f ca="1">IFERROR(__xludf.DUMMYFUNCTION("""COMPUTED_VALUE"""),"Recurring")</f>
        <v>Recurring</v>
      </c>
      <c r="E124" s="9" t="str">
        <f ca="1">IFERROR(__xludf.DUMMYFUNCTION("""COMPUTED_VALUE"""),"Appspace Private Cloud Subscription. Appspace private cloud instance access to all Appspace platform features for 3,000 devices, Elite Support, 6,000 GB cloud storage, and 6,000 GB/month cloud bandwidth.")</f>
        <v>Appspace Private Cloud Subscription. Appspace private cloud instance access to all Appspace platform features for 3,000 devices, Elite Support, 6,000 GB cloud storage, and 6,000 GB/month cloud bandwidth.</v>
      </c>
      <c r="F124" s="8" t="str">
        <f ca="1">IFERROR(__xludf.DUMMYFUNCTION("""COMPUTED_VALUE"""),"CAD")</f>
        <v>CAD</v>
      </c>
      <c r="G124" s="8">
        <f ca="1">IFERROR(__xludf.DUMMYFUNCTION("""COMPUTED_VALUE"""),50460)</f>
        <v>50460</v>
      </c>
      <c r="H124" s="10">
        <f ca="1">IFERROR(__xludf.DUMMYFUNCTION("""COMPUTED_VALUE"""),605520)</f>
        <v>605520</v>
      </c>
    </row>
    <row r="125" spans="1:8">
      <c r="A125" s="8" t="str">
        <f ca="1">IFERROR(__xludf.DUMMYFUNCTION("""COMPUTED_VALUE"""),"AS-OMNI-F-PV-EDU")</f>
        <v>AS-OMNI-F-PV-EDU</v>
      </c>
      <c r="B125" s="8" t="str">
        <f ca="1">IFERROR(__xludf.DUMMYFUNCTION("""COMPUTED_VALUE"""),"Annual Plan AS-OMNI-F-PV-EDU")</f>
        <v>Annual Plan AS-OMNI-F-PV-EDU</v>
      </c>
      <c r="C125" s="9" t="str">
        <f ca="1">IFERROR(__xludf.DUMMYFUNCTION("""COMPUTED_VALUE"""),"Platform")</f>
        <v>Platform</v>
      </c>
      <c r="D125" s="8" t="str">
        <f ca="1">IFERROR(__xludf.DUMMYFUNCTION("""COMPUTED_VALUE"""),"Recurring")</f>
        <v>Recurring</v>
      </c>
      <c r="E125" s="9" t="str">
        <f ca="1">IFERROR(__xludf.DUMMYFUNCTION("""COMPUTED_VALUE"""),"Appspace Education Private Cloud Subscription. Appspace private cloud instance access to all Appspace platform features for 3,000 devices, Elite Support, 6,000 GB cloud storage, and 6,000 GB/month cloud bandwidth.")</f>
        <v>Appspace Education Private Cloud Subscription. Appspace private cloud instance access to all Appspace platform features for 3,000 devices, Elite Support, 6,000 GB cloud storage, and 6,000 GB/month cloud bandwidth.</v>
      </c>
      <c r="F125" s="8" t="str">
        <f ca="1">IFERROR(__xludf.DUMMYFUNCTION("""COMPUTED_VALUE"""),"CAD")</f>
        <v>CAD</v>
      </c>
      <c r="G125" s="8">
        <f ca="1">IFERROR(__xludf.DUMMYFUNCTION("""COMPUTED_VALUE"""),45418)</f>
        <v>45418</v>
      </c>
      <c r="H125" s="10">
        <f ca="1">IFERROR(__xludf.DUMMYFUNCTION("""COMPUTED_VALUE"""),545016)</f>
        <v>545016</v>
      </c>
    </row>
    <row r="126" spans="1:8">
      <c r="A126" s="8" t="str">
        <f ca="1">IFERROR(__xludf.DUMMYFUNCTION("""COMPUTED_VALUE"""),"AS-RP-1000")</f>
        <v>AS-RP-1000</v>
      </c>
      <c r="B126" s="8" t="str">
        <f ca="1">IFERROR(__xludf.DUMMYFUNCTION("""COMPUTED_VALUE"""),"Annual Plan AS-RP-1000")</f>
        <v>Annual Plan AS-RP-1000</v>
      </c>
      <c r="C126" s="9" t="str">
        <f ca="1">IFERROR(__xludf.DUMMYFUNCTION("""COMPUTED_VALUE"""),"Resource Pack")</f>
        <v>Resource Pack</v>
      </c>
      <c r="D126" s="8" t="str">
        <f ca="1">IFERROR(__xludf.DUMMYFUNCTION("""COMPUTED_VALUE"""),"Recurring")</f>
        <v>Recurring</v>
      </c>
      <c r="E126" s="9" t="str">
        <f ca="1">IFERROR(__xludf.DUMMYFUNCTION("""COMPUTED_VALUE"""),"Appspace Resource Pack. Adds an extra 1,000 GB per month of bandwidth and 1,000 GB of storage on top of any Omni subscription plan.")</f>
        <v>Appspace Resource Pack. Adds an extra 1,000 GB per month of bandwidth and 1,000 GB of storage on top of any Omni subscription plan.</v>
      </c>
      <c r="F126" s="8" t="str">
        <f ca="1">IFERROR(__xludf.DUMMYFUNCTION("""COMPUTED_VALUE"""),"CAD")</f>
        <v>CAD</v>
      </c>
      <c r="G126" s="8">
        <f ca="1">IFERROR(__xludf.DUMMYFUNCTION("""COMPUTED_VALUE"""),303)</f>
        <v>303</v>
      </c>
      <c r="H126" s="10">
        <f ca="1">IFERROR(__xludf.DUMMYFUNCTION("""COMPUTED_VALUE"""),3636)</f>
        <v>3636</v>
      </c>
    </row>
    <row r="127" spans="1:8">
      <c r="A127" s="8" t="str">
        <f ca="1">IFERROR(__xludf.DUMMYFUNCTION("""COMPUTED_VALUE"""),"AS-ST-GB")</f>
        <v>AS-ST-GB</v>
      </c>
      <c r="B127" s="8" t="str">
        <f ca="1">IFERROR(__xludf.DUMMYFUNCTION("""COMPUTED_VALUE"""),"Annual Plan AS-ST-GB")</f>
        <v>Annual Plan AS-ST-GB</v>
      </c>
      <c r="C127" s="9" t="str">
        <f ca="1">IFERROR(__xludf.DUMMYFUNCTION("""COMPUTED_VALUE"""),"Storage")</f>
        <v>Storage</v>
      </c>
      <c r="D127" s="8" t="str">
        <f ca="1">IFERROR(__xludf.DUMMYFUNCTION("""COMPUTED_VALUE"""),"Recurring")</f>
        <v>Recurring</v>
      </c>
      <c r="E127" s="9" t="str">
        <f ca="1">IFERROR(__xludf.DUMMYFUNCTION("""COMPUTED_VALUE"""),"Monthly storage allocation (1 GB/month)")</f>
        <v>Monthly storage allocation (1 GB/month)</v>
      </c>
      <c r="F127" s="8" t="str">
        <f ca="1">IFERROR(__xludf.DUMMYFUNCTION("""COMPUTED_VALUE"""),"CAD")</f>
        <v>CAD</v>
      </c>
      <c r="G127" s="8">
        <f ca="1">IFERROR(__xludf.DUMMYFUNCTION("""COMPUTED_VALUE"""),0.15)</f>
        <v>0.15</v>
      </c>
      <c r="H127" s="8">
        <f ca="1">IFERROR(__xludf.DUMMYFUNCTION("""COMPUTED_VALUE"""),1.8)</f>
        <v>1.8</v>
      </c>
    </row>
    <row r="128" spans="1:8">
      <c r="A128" s="8" t="str">
        <f ca="1">IFERROR(__xludf.DUMMYFUNCTION("""COMPUTED_VALUE"""),"AS-SVC-CC")</f>
        <v>AS-SVC-CC</v>
      </c>
      <c r="B128" s="8" t="str">
        <f ca="1">IFERROR(__xludf.DUMMYFUNCTION("""COMPUTED_VALUE"""),"Annual Plan AS-SVC-CC")</f>
        <v>Annual Plan AS-SVC-CC</v>
      </c>
      <c r="C128" s="9" t="str">
        <f ca="1">IFERROR(__xludf.DUMMYFUNCTION("""COMPUTED_VALUE"""),"Complete Care")</f>
        <v>Complete Care</v>
      </c>
      <c r="D128" s="8" t="str">
        <f ca="1">IFERROR(__xludf.DUMMYFUNCTION("""COMPUTED_VALUE"""),"Recurring")</f>
        <v>Recurring</v>
      </c>
      <c r="E128" s="9" t="str">
        <f ca="1">IFERROR(__xludf.DUMMYFUNCTION("""COMPUTED_VALUE"""),"Complete Care")</f>
        <v>Complete Care</v>
      </c>
      <c r="F128" s="8" t="str">
        <f ca="1">IFERROR(__xludf.DUMMYFUNCTION("""COMPUTED_VALUE"""),"CAD")</f>
        <v>CAD</v>
      </c>
      <c r="G128" s="8">
        <f ca="1">IFERROR(__xludf.DUMMYFUNCTION("""COMPUTED_VALUE"""),45.42)</f>
        <v>45.42</v>
      </c>
      <c r="H128" s="10">
        <f ca="1">IFERROR(__xludf.DUMMYFUNCTION("""COMPUTED_VALUE"""),545.04)</f>
        <v>545.04</v>
      </c>
    </row>
    <row r="129" spans="1:8">
      <c r="A129" s="8" t="str">
        <f ca="1">IFERROR(__xludf.DUMMYFUNCTION("""COMPUTED_VALUE"""),"AS-SVC-COM-ADVISORY")</f>
        <v>AS-SVC-COM-ADVISORY</v>
      </c>
      <c r="B129" s="8" t="str">
        <f ca="1">IFERROR(__xludf.DUMMYFUNCTION("""COMPUTED_VALUE"""),"Annual Plan AS-SVC-COM-ADVISORY")</f>
        <v>Annual Plan AS-SVC-COM-ADVISORY</v>
      </c>
      <c r="C129" s="9" t="str">
        <f ca="1">IFERROR(__xludf.DUMMYFUNCTION("""COMPUTED_VALUE"""),"Workplace Communications Advisory")</f>
        <v>Workplace Communications Advisory</v>
      </c>
      <c r="D129" s="8" t="str">
        <f ca="1">IFERROR(__xludf.DUMMYFUNCTION("""COMPUTED_VALUE"""),"Recurring")</f>
        <v>Recurring</v>
      </c>
      <c r="E129" s="9" t="str">
        <f ca="1">IFERROR(__xludf.DUMMYFUNCTION("""COMPUTED_VALUE"""),"Workplace Communications Advisory - Comprehensive communications strategy for your digital and physical workplaces. Ongoing strategic insights into platform usage, industry trends, and product development.")</f>
        <v>Workplace Communications Advisory - Comprehensive communications strategy for your digital and physical workplaces. Ongoing strategic insights into platform usage, industry trends, and product development.</v>
      </c>
      <c r="F129" s="8" t="str">
        <f ca="1">IFERROR(__xludf.DUMMYFUNCTION("""COMPUTED_VALUE"""),"CAD")</f>
        <v>CAD</v>
      </c>
      <c r="G129" s="8">
        <f ca="1">IFERROR(__xludf.DUMMYFUNCTION("""COMPUTED_VALUE"""),3785)</f>
        <v>3785</v>
      </c>
      <c r="H129" s="10">
        <f ca="1">IFERROR(__xludf.DUMMYFUNCTION("""COMPUTED_VALUE"""),45420)</f>
        <v>45420</v>
      </c>
    </row>
    <row r="130" spans="1:8">
      <c r="A130" s="8" t="str">
        <f ca="1">IFERROR(__xludf.DUMMYFUNCTION("""COMPUTED_VALUE"""),"AS-SVC-COM-QST-BASIC")</f>
        <v>AS-SVC-COM-QST-BASIC</v>
      </c>
      <c r="B130" s="8" t="str">
        <f ca="1">IFERROR(__xludf.DUMMYFUNCTION("""COMPUTED_VALUE"""),"AS-SVC-COM-QST-BASIC")</f>
        <v>AS-SVC-COM-QST-BASIC</v>
      </c>
      <c r="C130" s="9" t="str">
        <f ca="1">IFERROR(__xludf.DUMMYFUNCTION("""COMPUTED_VALUE"""),"Workplace Comms Quick Start Basic")</f>
        <v>Workplace Comms Quick Start Basic</v>
      </c>
      <c r="D130" s="8" t="str">
        <f ca="1">IFERROR(__xludf.DUMMYFUNCTION("""COMPUTED_VALUE"""),"One-Time")</f>
        <v>One-Time</v>
      </c>
      <c r="E130" s="9" t="str">
        <f ca="1">IFERROR(__xludf.DUMMYFUNCTION("""COMPUTED_VALUE"""),"Workplace Comms Quick Start Basic - Onboarding basics,onboarding coordinator for 2 months, Welcome session and documentation,configuration guide and review, Administrator and Content Publisher on-demand webinars.")</f>
        <v>Workplace Comms Quick Start Basic - Onboarding basics,onboarding coordinator for 2 months, Welcome session and documentation,configuration guide and review, Administrator and Content Publisher on-demand webinars.</v>
      </c>
      <c r="F130" s="8" t="str">
        <f ca="1">IFERROR(__xludf.DUMMYFUNCTION("""COMPUTED_VALUE"""),"CAD")</f>
        <v>CAD</v>
      </c>
      <c r="G130" s="8">
        <f ca="1">IFERROR(__xludf.DUMMYFUNCTION("""COMPUTED_VALUE"""),3785)</f>
        <v>3785</v>
      </c>
      <c r="H130" s="10">
        <f ca="1">IFERROR(__xludf.DUMMYFUNCTION("""COMPUTED_VALUE"""),3785)</f>
        <v>3785</v>
      </c>
    </row>
    <row r="131" spans="1:8">
      <c r="A131" s="8" t="str">
        <f ca="1">IFERROR(__xludf.DUMMYFUNCTION("""COMPUTED_VALUE"""),"AS-SVC-COM-QST-ELITE")</f>
        <v>AS-SVC-COM-QST-ELITE</v>
      </c>
      <c r="B131" s="8" t="str">
        <f ca="1">IFERROR(__xludf.DUMMYFUNCTION("""COMPUTED_VALUE"""),"AS-SVC-COM-QST-ELITE")</f>
        <v>AS-SVC-COM-QST-ELITE</v>
      </c>
      <c r="C131" s="9" t="str">
        <f ca="1">IFERROR(__xludf.DUMMYFUNCTION("""COMPUTED_VALUE"""),"Workplace Comms Quick Start Elite")</f>
        <v>Workplace Comms Quick Start Elite</v>
      </c>
      <c r="D131" s="8" t="str">
        <f ca="1">IFERROR(__xludf.DUMMYFUNCTION("""COMPUTED_VALUE"""),"One-Time")</f>
        <v>One-Time</v>
      </c>
      <c r="E131" s="9" t="str">
        <f ca="1">IFERROR(__xludf.DUMMYFUNCTION("""COMPUTED_VALUE"""),"Workplace Comms Quick Start Elite - Enterprise and and local Workplace Comms implementation. Strategy session, Global-to-Local Governance Plan Global-to-Local Employee App Configuration, Device App Configuration,16 branded card templates, Administrator an"&amp;"d Content Publisher training.")</f>
        <v>Workplace Comms Quick Start Elite - Enterprise and and local Workplace Comms implementation. Strategy session, Global-to-Local Governance Plan Global-to-Local Employee App Configuration, Device App Configuration,16 branded card templates, Administrator and Content Publisher training.</v>
      </c>
      <c r="F131" s="8" t="str">
        <f ca="1">IFERROR(__xludf.DUMMYFUNCTION("""COMPUTED_VALUE"""),"CAD")</f>
        <v>CAD</v>
      </c>
      <c r="G131" s="8">
        <f ca="1">IFERROR(__xludf.DUMMYFUNCTION("""COMPUTED_VALUE"""),45418)</f>
        <v>45418</v>
      </c>
      <c r="H131" s="10">
        <f ca="1">IFERROR(__xludf.DUMMYFUNCTION("""COMPUTED_VALUE"""),45418)</f>
        <v>45418</v>
      </c>
    </row>
    <row r="132" spans="1:8">
      <c r="A132" s="8" t="str">
        <f ca="1">IFERROR(__xludf.DUMMYFUNCTION("""COMPUTED_VALUE"""),"AS-SVC-COM-QST-PREMIUM")</f>
        <v>AS-SVC-COM-QST-PREMIUM</v>
      </c>
      <c r="B132" s="8" t="str">
        <f ca="1">IFERROR(__xludf.DUMMYFUNCTION("""COMPUTED_VALUE"""),"AS-SVC-COM-QST-PREMIUM")</f>
        <v>AS-SVC-COM-QST-PREMIUM</v>
      </c>
      <c r="C132" s="9" t="str">
        <f ca="1">IFERROR(__xludf.DUMMYFUNCTION("""COMPUTED_VALUE"""),"Workplace Comms Quick Start Premium")</f>
        <v>Workplace Comms Quick Start Premium</v>
      </c>
      <c r="D132" s="8" t="str">
        <f ca="1">IFERROR(__xludf.DUMMYFUNCTION("""COMPUTED_VALUE"""),"One-Time")</f>
        <v>One-Time</v>
      </c>
      <c r="E132" s="9" t="str">
        <f ca="1">IFERROR(__xludf.DUMMYFUNCTION("""COMPUTED_VALUE"""),"Workplace Comms Quick Start Premium - Enterprise-level Workplace Communications implementation. Strategy session, Employee App theming and configuration, platform configuration, 16 branded card templates, Administrator and Content Publisher training.")</f>
        <v>Workplace Comms Quick Start Premium - Enterprise-level Workplace Communications implementation. Strategy session, Employee App theming and configuration, platform configuration, 16 branded card templates, Administrator and Content Publisher training.</v>
      </c>
      <c r="F132" s="8" t="str">
        <f ca="1">IFERROR(__xludf.DUMMYFUNCTION("""COMPUTED_VALUE"""),"CAD")</f>
        <v>CAD</v>
      </c>
      <c r="G132" s="8">
        <f ca="1">IFERROR(__xludf.DUMMYFUNCTION("""COMPUTED_VALUE"""),22709)</f>
        <v>22709</v>
      </c>
      <c r="H132" s="10">
        <f ca="1">IFERROR(__xludf.DUMMYFUNCTION("""COMPUTED_VALUE"""),22709)</f>
        <v>22709</v>
      </c>
    </row>
    <row r="133" spans="1:8">
      <c r="A133" s="8" t="str">
        <f ca="1">IFERROR(__xludf.DUMMYFUNCTION("""COMPUTED_VALUE"""),"AS-SVC-COM-REFRESH")</f>
        <v>AS-SVC-COM-REFRESH</v>
      </c>
      <c r="B133" s="8" t="str">
        <f ca="1">IFERROR(__xludf.DUMMYFUNCTION("""COMPUTED_VALUE"""),"AS-SVC-COM-REFRESH")</f>
        <v>AS-SVC-COM-REFRESH</v>
      </c>
      <c r="C133" s="9" t="str">
        <f ca="1">IFERROR(__xludf.DUMMYFUNCTION("""COMPUTED_VALUE"""),"Workplace Comms Refresh")</f>
        <v>Workplace Comms Refresh</v>
      </c>
      <c r="D133" s="8" t="str">
        <f ca="1">IFERROR(__xludf.DUMMYFUNCTION("""COMPUTED_VALUE"""),"One-Time")</f>
        <v>One-Time</v>
      </c>
      <c r="E133" s="9" t="str">
        <f ca="1">IFERROR(__xludf.DUMMYFUNCTION("""COMPUTED_VALUE"""),"Workplace Comms Refresh -  Appspace Digital Signage and/or Employee App comms and analytics review; library, channels, groups cleanup; documented best practices, workflow review session.")</f>
        <v>Workplace Comms Refresh -  Appspace Digital Signage and/or Employee App comms and analytics review; library, channels, groups cleanup; documented best practices, workflow review session.</v>
      </c>
      <c r="F133" s="8" t="str">
        <f ca="1">IFERROR(__xludf.DUMMYFUNCTION("""COMPUTED_VALUE"""),"CAD")</f>
        <v>CAD</v>
      </c>
      <c r="G133" s="8">
        <f ca="1">IFERROR(__xludf.DUMMYFUNCTION("""COMPUTED_VALUE"""),22709)</f>
        <v>22709</v>
      </c>
      <c r="H133" s="10">
        <f ca="1">IFERROR(__xludf.DUMMYFUNCTION("""COMPUTED_VALUE"""),22709)</f>
        <v>22709</v>
      </c>
    </row>
    <row r="134" spans="1:8">
      <c r="A134" s="8" t="str">
        <f ca="1">IFERROR(__xludf.DUMMYFUNCTION("""COMPUTED_VALUE"""),"AS-SVC-COM-REVIEW")</f>
        <v>AS-SVC-COM-REVIEW</v>
      </c>
      <c r="B134" s="8" t="str">
        <f ca="1">IFERROR(__xludf.DUMMYFUNCTION("""COMPUTED_VALUE"""),"AS-SVC-COM-REVIEW")</f>
        <v>AS-SVC-COM-REVIEW</v>
      </c>
      <c r="C134" s="9" t="str">
        <f ca="1">IFERROR(__xludf.DUMMYFUNCTION("""COMPUTED_VALUE"""),"Workplace Comms Review")</f>
        <v>Workplace Comms Review</v>
      </c>
      <c r="D134" s="8" t="str">
        <f ca="1">IFERROR(__xludf.DUMMYFUNCTION("""COMPUTED_VALUE"""),"One-Time")</f>
        <v>One-Time</v>
      </c>
      <c r="E134" s="9" t="str">
        <f ca="1">IFERROR(__xludf.DUMMYFUNCTION("""COMPUTED_VALUE"""),"Workplace Comms Review - Appspace Digital Signage and/or Employee App communications and analytics review, documented findings and recommendations, collaborative findings review session.")</f>
        <v>Workplace Comms Review - Appspace Digital Signage and/or Employee App communications and analytics review, documented findings and recommendations, collaborative findings review session.</v>
      </c>
      <c r="F134" s="8" t="str">
        <f ca="1">IFERROR(__xludf.DUMMYFUNCTION("""COMPUTED_VALUE"""),"CAD")</f>
        <v>CAD</v>
      </c>
      <c r="G134" s="8">
        <f ca="1">IFERROR(__xludf.DUMMYFUNCTION("""COMPUTED_VALUE"""),11355)</f>
        <v>11355</v>
      </c>
      <c r="H134" s="10">
        <f ca="1">IFERROR(__xludf.DUMMYFUNCTION("""COMPUTED_VALUE"""),11355)</f>
        <v>11355</v>
      </c>
    </row>
    <row r="135" spans="1:8">
      <c r="A135" s="8" t="str">
        <f ca="1">IFERROR(__xludf.DUMMYFUNCTION("""COMPUTED_VALUE"""),"AS-SVC-COM-TEMPLATES")</f>
        <v>AS-SVC-COM-TEMPLATES</v>
      </c>
      <c r="B135" s="8" t="str">
        <f ca="1">IFERROR(__xludf.DUMMYFUNCTION("""COMPUTED_VALUE"""),"AS-SVC-COM-TEMPLATES")</f>
        <v>AS-SVC-COM-TEMPLATES</v>
      </c>
      <c r="C135" s="9" t="str">
        <f ca="1">IFERROR(__xludf.DUMMYFUNCTION("""COMPUTED_VALUE"""),"Workplace Comms Branded Templates")</f>
        <v>Workplace Comms Branded Templates</v>
      </c>
      <c r="D135" s="8" t="str">
        <f ca="1">IFERROR(__xludf.DUMMYFUNCTION("""COMPUTED_VALUE"""),"One-Time")</f>
        <v>One-Time</v>
      </c>
      <c r="E135" s="9" t="str">
        <f ca="1">IFERROR(__xludf.DUMMYFUNCTION("""COMPUTED_VALUE"""),"Workplace Comms Branded Templates - Sixteen communication templates for your most common use cases, branded with your logo, fonts, and colors.")</f>
        <v>Workplace Comms Branded Templates - Sixteen communication templates for your most common use cases, branded with your logo, fonts, and colors.</v>
      </c>
      <c r="F135" s="8" t="str">
        <f ca="1">IFERROR(__xludf.DUMMYFUNCTION("""COMPUTED_VALUE"""),"CAD")</f>
        <v>CAD</v>
      </c>
      <c r="G135" s="8">
        <f ca="1">IFERROR(__xludf.DUMMYFUNCTION("""COMPUTED_VALUE"""),12112)</f>
        <v>12112</v>
      </c>
      <c r="H135" s="10">
        <f ca="1">IFERROR(__xludf.DUMMYFUNCTION("""COMPUTED_VALUE"""),12112)</f>
        <v>12112</v>
      </c>
    </row>
    <row r="136" spans="1:8">
      <c r="A136" s="8" t="str">
        <f ca="1">IFERROR(__xludf.DUMMYFUNCTION("""COMPUTED_VALUE"""),"AS-SVC-CSM")</f>
        <v>AS-SVC-CSM</v>
      </c>
      <c r="B136" s="8" t="str">
        <f ca="1">IFERROR(__xludf.DUMMYFUNCTION("""COMPUTED_VALUE"""),"Annual Plan AS-SVC-CSM")</f>
        <v>Annual Plan AS-SVC-CSM</v>
      </c>
      <c r="C136" s="9" t="str">
        <f ca="1">IFERROR(__xludf.DUMMYFUNCTION("""COMPUTED_VALUE"""),"Customer Success Manager")</f>
        <v>Customer Success Manager</v>
      </c>
      <c r="D136" s="8" t="str">
        <f ca="1">IFERROR(__xludf.DUMMYFUNCTION("""COMPUTED_VALUE"""),"Recurring")</f>
        <v>Recurring</v>
      </c>
      <c r="E136" s="9" t="str">
        <f ca="1">IFERROR(__xludf.DUMMYFUNCTION("""COMPUTED_VALUE"""),"Appspace Customer Success Manager - An Appspace Customer Success Manager is assigned to your account to assist you with getting the most out of your Appspace subscription.")</f>
        <v>Appspace Customer Success Manager - An Appspace Customer Success Manager is assigned to your account to assist you with getting the most out of your Appspace subscription.</v>
      </c>
      <c r="F136" s="8" t="str">
        <f ca="1">IFERROR(__xludf.DUMMYFUNCTION("""COMPUTED_VALUE"""),"CAD")</f>
        <v>CAD</v>
      </c>
      <c r="G136" s="8">
        <f ca="1">IFERROR(__xludf.DUMMYFUNCTION("""COMPUTED_VALUE"""),2271)</f>
        <v>2271</v>
      </c>
      <c r="H136" s="10">
        <f ca="1">IFERROR(__xludf.DUMMYFUNCTION("""COMPUTED_VALUE"""),27252)</f>
        <v>27252</v>
      </c>
    </row>
    <row r="137" spans="1:8">
      <c r="A137" s="8" t="str">
        <f ca="1">IFERROR(__xludf.DUMMYFUNCTION("""COMPUTED_VALUE"""),"AS-SVC-INT-MS-BASIC")</f>
        <v>AS-SVC-INT-MS-BASIC</v>
      </c>
      <c r="B137" s="8" t="str">
        <f ca="1">IFERROR(__xludf.DUMMYFUNCTION("""COMPUTED_VALUE"""),"Annual Plan AS-SVC-INT-MS-BASIC")</f>
        <v>Annual Plan AS-SVC-INT-MS-BASIC</v>
      </c>
      <c r="C137" s="9" t="str">
        <f ca="1">IFERROR(__xludf.DUMMYFUNCTION("""COMPUTED_VALUE"""),"Managed Services Intranet - Basic")</f>
        <v>Managed Services Intranet - Basic</v>
      </c>
      <c r="D137" s="8" t="str">
        <f ca="1">IFERROR(__xludf.DUMMYFUNCTION("""COMPUTED_VALUE"""),"Recurring")</f>
        <v>Recurring</v>
      </c>
      <c r="E137" s="9" t="str">
        <f ca="1">IFERROR(__xludf.DUMMYFUNCTION("""COMPUTED_VALUE"""),"Intranet Platform Managed Services - Ongoing Intranet support including project management, analytics reporting and advisory, new user support. Up to 12 hours per month")</f>
        <v>Intranet Platform Managed Services - Ongoing Intranet support including project management, analytics reporting and advisory, new user support. Up to 12 hours per month</v>
      </c>
      <c r="F137" s="8" t="str">
        <f ca="1">IFERROR(__xludf.DUMMYFUNCTION("""COMPUTED_VALUE"""),"CAD")</f>
        <v>CAD</v>
      </c>
      <c r="G137" s="8">
        <f ca="1">IFERROR(__xludf.DUMMYFUNCTION("""COMPUTED_VALUE"""),4542)</f>
        <v>4542</v>
      </c>
      <c r="H137" s="10">
        <f ca="1">IFERROR(__xludf.DUMMYFUNCTION("""COMPUTED_VALUE"""),54504)</f>
        <v>54504</v>
      </c>
    </row>
    <row r="138" spans="1:8">
      <c r="A138" s="8" t="str">
        <f ca="1">IFERROR(__xludf.DUMMYFUNCTION("""COMPUTED_VALUE"""),"AS-SVC-INT-MS-BRANDING")</f>
        <v>AS-SVC-INT-MS-BRANDING</v>
      </c>
      <c r="B138" s="8" t="str">
        <f ca="1">IFERROR(__xludf.DUMMYFUNCTION("""COMPUTED_VALUE"""),"AS-SVC-INT-MS-BRANDING")</f>
        <v>AS-SVC-INT-MS-BRANDING</v>
      </c>
      <c r="C138" s="9" t="str">
        <f ca="1">IFERROR(__xludf.DUMMYFUNCTION("""COMPUTED_VALUE"""),"Intranet Branding Managed Services")</f>
        <v>Intranet Branding Managed Services</v>
      </c>
      <c r="D138" s="8" t="str">
        <f ca="1">IFERROR(__xludf.DUMMYFUNCTION("""COMPUTED_VALUE"""),"Recurring")</f>
        <v>Recurring</v>
      </c>
      <c r="E138" s="9" t="str">
        <f ca="1">IFERROR(__xludf.DUMMYFUNCTION("""COMPUTED_VALUE"""),"Intranet Branding Services - Custom branding of Intranet local and global entities, set up and maintenance of the customizations. Includes 4 updates of branding packages a year.")</f>
        <v>Intranet Branding Services - Custom branding of Intranet local and global entities, set up and maintenance of the customizations. Includes 4 updates of branding packages a year.</v>
      </c>
      <c r="F138" s="8" t="str">
        <f ca="1">IFERROR(__xludf.DUMMYFUNCTION("""COMPUTED_VALUE"""),"CAD")</f>
        <v>CAD</v>
      </c>
      <c r="G138" s="8">
        <f ca="1">IFERROR(__xludf.DUMMYFUNCTION("""COMPUTED_VALUE"""),1665)</f>
        <v>1665</v>
      </c>
      <c r="H138" s="10">
        <f ca="1">IFERROR(__xludf.DUMMYFUNCTION("""COMPUTED_VALUE"""),19980)</f>
        <v>19980</v>
      </c>
    </row>
    <row r="139" spans="1:8">
      <c r="A139" s="8" t="str">
        <f ca="1">IFERROR(__xludf.DUMMYFUNCTION("""COMPUTED_VALUE"""),"AS-SVC-INT-MS-ELITE")</f>
        <v>AS-SVC-INT-MS-ELITE</v>
      </c>
      <c r="B139" s="8" t="str">
        <f ca="1">IFERROR(__xludf.DUMMYFUNCTION("""COMPUTED_VALUE"""),"Annual Plan AS-SVC-INT-MS-ELITE")</f>
        <v>Annual Plan AS-SVC-INT-MS-ELITE</v>
      </c>
      <c r="C139" s="9" t="str">
        <f ca="1">IFERROR(__xludf.DUMMYFUNCTION("""COMPUTED_VALUE"""),"Managed Services Intranet - Elite")</f>
        <v>Managed Services Intranet - Elite</v>
      </c>
      <c r="D139" s="8" t="str">
        <f ca="1">IFERROR(__xludf.DUMMYFUNCTION("""COMPUTED_VALUE"""),"Recurring")</f>
        <v>Recurring</v>
      </c>
      <c r="E139" s="9" t="str">
        <f ca="1">IFERROR(__xludf.DUMMYFUNCTION("""COMPUTED_VALUE"""),"Intranet Platform Managed Services - Ongoing Intranet support including project management, analytics reporting and advisory, new user support. 32+hours per month. Additional scoping may be required.")</f>
        <v>Intranet Platform Managed Services - Ongoing Intranet support including project management, analytics reporting and advisory, new user support. 32+hours per month. Additional scoping may be required.</v>
      </c>
      <c r="F139" s="8" t="str">
        <f ca="1">IFERROR(__xludf.DUMMYFUNCTION("""COMPUTED_VALUE"""),"CAD")</f>
        <v>CAD</v>
      </c>
      <c r="G139" s="8">
        <f ca="1">IFERROR(__xludf.DUMMYFUNCTION("""COMPUTED_VALUE"""),11355)</f>
        <v>11355</v>
      </c>
      <c r="H139" s="10">
        <f ca="1">IFERROR(__xludf.DUMMYFUNCTION("""COMPUTED_VALUE"""),136260)</f>
        <v>136260</v>
      </c>
    </row>
    <row r="140" spans="1:8">
      <c r="A140" s="8" t="str">
        <f ca="1">IFERROR(__xludf.DUMMYFUNCTION("""COMPUTED_VALUE"""),"AS-SVC-INT-MS-PREMIUM")</f>
        <v>AS-SVC-INT-MS-PREMIUM</v>
      </c>
      <c r="B140" s="8" t="str">
        <f ca="1">IFERROR(__xludf.DUMMYFUNCTION("""COMPUTED_VALUE"""),"Annual Plan AS-SVC-INT-MS-PREMIUM")</f>
        <v>Annual Plan AS-SVC-INT-MS-PREMIUM</v>
      </c>
      <c r="C140" s="9" t="str">
        <f ca="1">IFERROR(__xludf.DUMMYFUNCTION("""COMPUTED_VALUE"""),"Managed Services Intranet - Premium")</f>
        <v>Managed Services Intranet - Premium</v>
      </c>
      <c r="D140" s="8" t="str">
        <f ca="1">IFERROR(__xludf.DUMMYFUNCTION("""COMPUTED_VALUE"""),"Recurring")</f>
        <v>Recurring</v>
      </c>
      <c r="E140" s="9" t="str">
        <f ca="1">IFERROR(__xludf.DUMMYFUNCTION("""COMPUTED_VALUE"""),"Intranet Platform Managed Services - Ongoing Intranet support including project management, analytics reporting and advisory, new user support. Up to 24 hours per month")</f>
        <v>Intranet Platform Managed Services - Ongoing Intranet support including project management, analytics reporting and advisory, new user support. Up to 24 hours per month</v>
      </c>
      <c r="F140" s="8" t="str">
        <f ca="1">IFERROR(__xludf.DUMMYFUNCTION("""COMPUTED_VALUE"""),"CAD")</f>
        <v>CAD</v>
      </c>
      <c r="G140" s="8">
        <f ca="1">IFERROR(__xludf.DUMMYFUNCTION("""COMPUTED_VALUE"""),9084)</f>
        <v>9084</v>
      </c>
      <c r="H140" s="10">
        <f ca="1">IFERROR(__xludf.DUMMYFUNCTION("""COMPUTED_VALUE"""),109008)</f>
        <v>109008</v>
      </c>
    </row>
    <row r="141" spans="1:8">
      <c r="A141" s="8" t="str">
        <f ca="1">IFERROR(__xludf.DUMMYFUNCTION("""COMPUTED_VALUE"""),"AS-SVC-MAPS-FLU")</f>
        <v>AS-SVC-MAPS-FLU</v>
      </c>
      <c r="B141" s="8" t="str">
        <f ca="1">IFERROR(__xludf.DUMMYFUNCTION("""COMPUTED_VALUE"""),"AS-SVC-MAPS-FLU")</f>
        <v>AS-SVC-MAPS-FLU</v>
      </c>
      <c r="C141" s="9" t="str">
        <f ca="1">IFERROR(__xludf.DUMMYFUNCTION("""COMPUTED_VALUE"""),"Space Reservation Floor Update")</f>
        <v>Space Reservation Floor Update</v>
      </c>
      <c r="D141" s="8" t="str">
        <f ca="1">IFERROR(__xludf.DUMMYFUNCTION("""COMPUTED_VALUE"""),"One-Time")</f>
        <v>One-Time</v>
      </c>
      <c r="E141" s="9" t="str">
        <f ca="1">IFERROR(__xludf.DUMMYFUNCTION("""COMPUTED_VALUE"""),"Appspace Space Reservation Floor Update - Update of Appspace-created 2D mapped floor plan.")</f>
        <v>Appspace Space Reservation Floor Update - Update of Appspace-created 2D mapped floor plan.</v>
      </c>
      <c r="F141" s="8" t="str">
        <f ca="1">IFERROR(__xludf.DUMMYFUNCTION("""COMPUTED_VALUE"""),"CAD")</f>
        <v>CAD</v>
      </c>
      <c r="G141" s="8">
        <f ca="1">IFERROR(__xludf.DUMMYFUNCTION("""COMPUTED_VALUE"""),378)</f>
        <v>378</v>
      </c>
      <c r="H141" s="10">
        <f ca="1">IFERROR(__xludf.DUMMYFUNCTION("""COMPUTED_VALUE"""),378)</f>
        <v>378</v>
      </c>
    </row>
    <row r="142" spans="1:8">
      <c r="A142" s="8" t="str">
        <f ca="1">IFERROR(__xludf.DUMMYFUNCTION("""COMPUTED_VALUE"""),"AS-SVC-MS-ADVANCED")</f>
        <v>AS-SVC-MS-ADVANCED</v>
      </c>
      <c r="B142" s="8" t="str">
        <f ca="1">IFERROR(__xludf.DUMMYFUNCTION("""COMPUTED_VALUE"""),"Annual Plan AS-SVC-MS-ADVANCED")</f>
        <v>Annual Plan AS-SVC-MS-ADVANCED</v>
      </c>
      <c r="C142" s="9" t="str">
        <f ca="1">IFERROR(__xludf.DUMMYFUNCTION("""COMPUTED_VALUE"""),"Managed Services - Advanced")</f>
        <v>Managed Services - Advanced</v>
      </c>
      <c r="D142" s="8" t="str">
        <f ca="1">IFERROR(__xludf.DUMMYFUNCTION("""COMPUTED_VALUE"""),"Recurring")</f>
        <v>Recurring</v>
      </c>
      <c r="E142" s="9" t="str">
        <f ca="1">IFERROR(__xludf.DUMMYFUNCTION("""COMPUTED_VALUE"""),"Managed Services Advanced - Ongoing platform assistance, up to 12 hours per month")</f>
        <v>Managed Services Advanced - Ongoing platform assistance, up to 12 hours per month</v>
      </c>
      <c r="F142" s="8" t="str">
        <f ca="1">IFERROR(__xludf.DUMMYFUNCTION("""COMPUTED_VALUE"""),"CAD")</f>
        <v>CAD</v>
      </c>
      <c r="G142" s="8">
        <f ca="1">IFERROR(__xludf.DUMMYFUNCTION("""COMPUTED_VALUE"""),4542)</f>
        <v>4542</v>
      </c>
      <c r="H142" s="10">
        <f ca="1">IFERROR(__xludf.DUMMYFUNCTION("""COMPUTED_VALUE"""),54504)</f>
        <v>54504</v>
      </c>
    </row>
    <row r="143" spans="1:8">
      <c r="A143" s="8" t="str">
        <f ca="1">IFERROR(__xludf.DUMMYFUNCTION("""COMPUTED_VALUE"""),"AS-SVC-MS-BASIC")</f>
        <v>AS-SVC-MS-BASIC</v>
      </c>
      <c r="B143" s="8" t="str">
        <f ca="1">IFERROR(__xludf.DUMMYFUNCTION("""COMPUTED_VALUE"""),"Annual Plan AS-SVC-MS-BASIC")</f>
        <v>Annual Plan AS-SVC-MS-BASIC</v>
      </c>
      <c r="C143" s="9" t="str">
        <f ca="1">IFERROR(__xludf.DUMMYFUNCTION("""COMPUTED_VALUE"""),"Managed Services - Basic")</f>
        <v>Managed Services - Basic</v>
      </c>
      <c r="D143" s="8" t="str">
        <f ca="1">IFERROR(__xludf.DUMMYFUNCTION("""COMPUTED_VALUE"""),"Recurring")</f>
        <v>Recurring</v>
      </c>
      <c r="E143" s="9" t="str">
        <f ca="1">IFERROR(__xludf.DUMMYFUNCTION("""COMPUTED_VALUE"""),"Managed Services Basic - Ongoing platform assistance, up to 6 hours per month")</f>
        <v>Managed Services Basic - Ongoing platform assistance, up to 6 hours per month</v>
      </c>
      <c r="F143" s="8" t="str">
        <f ca="1">IFERROR(__xludf.DUMMYFUNCTION("""COMPUTED_VALUE"""),"CAD")</f>
        <v>CAD</v>
      </c>
      <c r="G143" s="8">
        <f ca="1">IFERROR(__xludf.DUMMYFUNCTION("""COMPUTED_VALUE"""),2271)</f>
        <v>2271</v>
      </c>
      <c r="H143" s="10">
        <f ca="1">IFERROR(__xludf.DUMMYFUNCTION("""COMPUTED_VALUE"""),27252)</f>
        <v>27252</v>
      </c>
    </row>
    <row r="144" spans="1:8">
      <c r="A144" s="8" t="str">
        <f ca="1">IFERROR(__xludf.DUMMYFUNCTION("""COMPUTED_VALUE"""),"AS-SVC-MS-PREMIUM")</f>
        <v>AS-SVC-MS-PREMIUM</v>
      </c>
      <c r="B144" s="8" t="str">
        <f ca="1">IFERROR(__xludf.DUMMYFUNCTION("""COMPUTED_VALUE"""),"Annual Plan AS-SVC-MS-PREMIUM")</f>
        <v>Annual Plan AS-SVC-MS-PREMIUM</v>
      </c>
      <c r="C144" s="9" t="str">
        <f ca="1">IFERROR(__xludf.DUMMYFUNCTION("""COMPUTED_VALUE"""),"Managed Services - Premium")</f>
        <v>Managed Services - Premium</v>
      </c>
      <c r="D144" s="8" t="str">
        <f ca="1">IFERROR(__xludf.DUMMYFUNCTION("""COMPUTED_VALUE"""),"Recurring")</f>
        <v>Recurring</v>
      </c>
      <c r="E144" s="9" t="str">
        <f ca="1">IFERROR(__xludf.DUMMYFUNCTION("""COMPUTED_VALUE"""),"Managed Services Premium - Ongoing platform assistance, up to 24 hours per month")</f>
        <v>Managed Services Premium - Ongoing platform assistance, up to 24 hours per month</v>
      </c>
      <c r="F144" s="8" t="str">
        <f ca="1">IFERROR(__xludf.DUMMYFUNCTION("""COMPUTED_VALUE"""),"CAD")</f>
        <v>CAD</v>
      </c>
      <c r="G144" s="8">
        <f ca="1">IFERROR(__xludf.DUMMYFUNCTION("""COMPUTED_VALUE"""),9084)</f>
        <v>9084</v>
      </c>
      <c r="H144" s="10">
        <f ca="1">IFERROR(__xludf.DUMMYFUNCTION("""COMPUTED_VALUE"""),109008)</f>
        <v>109008</v>
      </c>
    </row>
    <row r="145" spans="1:8">
      <c r="A145" s="8" t="str">
        <f ca="1">IFERROR(__xludf.DUMMYFUNCTION("""COMPUTED_VALUE"""),"AS-SVC-OP-CM")</f>
        <v>AS-SVC-OP-CM</v>
      </c>
      <c r="B145" s="8" t="str">
        <f ca="1">IFERROR(__xludf.DUMMYFUNCTION("""COMPUTED_VALUE"""),"AS-SVC-OP-CM - Large")</f>
        <v>AS-SVC-OP-CM - Large</v>
      </c>
      <c r="C145" s="9" t="str">
        <f ca="1">IFERROR(__xludf.DUMMYFUNCTION("""COMPUTED_VALUE"""),"On-Prem to Cloud Migration - Large")</f>
        <v>On-Prem to Cloud Migration - Large</v>
      </c>
      <c r="D145" s="8" t="str">
        <f ca="1">IFERROR(__xludf.DUMMYFUNCTION("""COMPUTED_VALUE"""),"One-Time")</f>
        <v>One-Time</v>
      </c>
      <c r="E145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5" s="8" t="str">
        <f ca="1">IFERROR(__xludf.DUMMYFUNCTION("""COMPUTED_VALUE"""),"CAD")</f>
        <v>CAD</v>
      </c>
      <c r="G145" s="8">
        <f ca="1">IFERROR(__xludf.DUMMYFUNCTION("""COMPUTED_VALUE"""),30279)</f>
        <v>30279</v>
      </c>
      <c r="H145" s="10">
        <f ca="1">IFERROR(__xludf.DUMMYFUNCTION("""COMPUTED_VALUE"""),30279)</f>
        <v>30279</v>
      </c>
    </row>
    <row r="146" spans="1:8">
      <c r="A146" s="8" t="str">
        <f ca="1">IFERROR(__xludf.DUMMYFUNCTION("""COMPUTED_VALUE"""),"AS-SVC-OP-CM")</f>
        <v>AS-SVC-OP-CM</v>
      </c>
      <c r="B146" s="8" t="str">
        <f ca="1">IFERROR(__xludf.DUMMYFUNCTION("""COMPUTED_VALUE"""),"AS-SVC-OP-CM - Medium")</f>
        <v>AS-SVC-OP-CM - Medium</v>
      </c>
      <c r="C146" s="9" t="str">
        <f ca="1">IFERROR(__xludf.DUMMYFUNCTION("""COMPUTED_VALUE"""),"On-Prem to Cloud Migration - Medium")</f>
        <v>On-Prem to Cloud Migration - Medium</v>
      </c>
      <c r="D146" s="8" t="str">
        <f ca="1">IFERROR(__xludf.DUMMYFUNCTION("""COMPUTED_VALUE"""),"One-Time")</f>
        <v>One-Time</v>
      </c>
      <c r="E146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6" s="8" t="str">
        <f ca="1">IFERROR(__xludf.DUMMYFUNCTION("""COMPUTED_VALUE"""),"CAD")</f>
        <v>CAD</v>
      </c>
      <c r="G146" s="8">
        <f ca="1">IFERROR(__xludf.DUMMYFUNCTION("""COMPUTED_VALUE"""),15139)</f>
        <v>15139</v>
      </c>
      <c r="H146" s="10">
        <f ca="1">IFERROR(__xludf.DUMMYFUNCTION("""COMPUTED_VALUE"""),15139)</f>
        <v>15139</v>
      </c>
    </row>
    <row r="147" spans="1:8">
      <c r="A147" s="8" t="str">
        <f ca="1">IFERROR(__xludf.DUMMYFUNCTION("""COMPUTED_VALUE"""),"AS-SVC-OP-CM")</f>
        <v>AS-SVC-OP-CM</v>
      </c>
      <c r="B147" s="8" t="str">
        <f ca="1">IFERROR(__xludf.DUMMYFUNCTION("""COMPUTED_VALUE"""),"AS-SVC-OP-CM - Small")</f>
        <v>AS-SVC-OP-CM - Small</v>
      </c>
      <c r="C147" s="9" t="str">
        <f ca="1">IFERROR(__xludf.DUMMYFUNCTION("""COMPUTED_VALUE"""),"On-Prem to Cloud Migration - Small")</f>
        <v>On-Prem to Cloud Migration - Small</v>
      </c>
      <c r="D147" s="8" t="str">
        <f ca="1">IFERROR(__xludf.DUMMYFUNCTION("""COMPUTED_VALUE"""),"One-Time")</f>
        <v>One-Time</v>
      </c>
      <c r="E147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7" s="8" t="str">
        <f ca="1">IFERROR(__xludf.DUMMYFUNCTION("""COMPUTED_VALUE"""),"CAD")</f>
        <v>CAD</v>
      </c>
      <c r="G147" s="8">
        <f ca="1">IFERROR(__xludf.DUMMYFUNCTION("""COMPUTED_VALUE"""),7570)</f>
        <v>7570</v>
      </c>
      <c r="H147" s="10">
        <f ca="1">IFERROR(__xludf.DUMMYFUNCTION("""COMPUTED_VALUE"""),7570)</f>
        <v>7570</v>
      </c>
    </row>
    <row r="148" spans="1:8">
      <c r="A148" s="8" t="str">
        <f ca="1">IFERROR(__xludf.DUMMYFUNCTION("""COMPUTED_VALUE"""),"AS-SVC-OP-UPG")</f>
        <v>AS-SVC-OP-UPG</v>
      </c>
      <c r="B148" s="8" t="str">
        <f ca="1">IFERROR(__xludf.DUMMYFUNCTION("""COMPUTED_VALUE"""),"AS-SVC-OP-UPG - Small")</f>
        <v>AS-SVC-OP-UPG - Small</v>
      </c>
      <c r="C148" s="9" t="str">
        <f ca="1">IFERROR(__xludf.DUMMYFUNCTION("""COMPUTED_VALUE"""),"On-Prem Upgrade Services - Small")</f>
        <v>On-Prem Upgrade Services - Small</v>
      </c>
      <c r="D148" s="8" t="str">
        <f ca="1">IFERROR(__xludf.DUMMYFUNCTION("""COMPUTED_VALUE"""),"One-Time")</f>
        <v>One-Time</v>
      </c>
      <c r="E148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8" s="8" t="str">
        <f ca="1">IFERROR(__xludf.DUMMYFUNCTION("""COMPUTED_VALUE"""),"CAD")</f>
        <v>CAD</v>
      </c>
      <c r="G148" s="8">
        <f ca="1">IFERROR(__xludf.DUMMYFUNCTION("""COMPUTED_VALUE"""),7570)</f>
        <v>7570</v>
      </c>
      <c r="H148" s="10">
        <f ca="1">IFERROR(__xludf.DUMMYFUNCTION("""COMPUTED_VALUE"""),7570)</f>
        <v>7570</v>
      </c>
    </row>
    <row r="149" spans="1:8">
      <c r="A149" s="8" t="str">
        <f ca="1">IFERROR(__xludf.DUMMYFUNCTION("""COMPUTED_VALUE"""),"AS-SVC-OP-UPG")</f>
        <v>AS-SVC-OP-UPG</v>
      </c>
      <c r="B149" s="8" t="str">
        <f ca="1">IFERROR(__xludf.DUMMYFUNCTION("""COMPUTED_VALUE"""),"AS-SVC-OP-UPG - Large")</f>
        <v>AS-SVC-OP-UPG - Large</v>
      </c>
      <c r="C149" s="9" t="str">
        <f ca="1">IFERROR(__xludf.DUMMYFUNCTION("""COMPUTED_VALUE"""),"On-Prem Upgrade Services - Large")</f>
        <v>On-Prem Upgrade Services - Large</v>
      </c>
      <c r="D149" s="8" t="str">
        <f ca="1">IFERROR(__xludf.DUMMYFUNCTION("""COMPUTED_VALUE"""),"One-Time")</f>
        <v>One-Time</v>
      </c>
      <c r="E149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9" s="8" t="str">
        <f ca="1">IFERROR(__xludf.DUMMYFUNCTION("""COMPUTED_VALUE"""),"CAD")</f>
        <v>CAD</v>
      </c>
      <c r="G149" s="8">
        <f ca="1">IFERROR(__xludf.DUMMYFUNCTION("""COMPUTED_VALUE"""),30279)</f>
        <v>30279</v>
      </c>
      <c r="H149" s="10">
        <f ca="1">IFERROR(__xludf.DUMMYFUNCTION("""COMPUTED_VALUE"""),30279)</f>
        <v>30279</v>
      </c>
    </row>
    <row r="150" spans="1:8">
      <c r="A150" s="8" t="str">
        <f ca="1">IFERROR(__xludf.DUMMYFUNCTION("""COMPUTED_VALUE"""),"AS-SVC-OP-UPG")</f>
        <v>AS-SVC-OP-UPG</v>
      </c>
      <c r="B150" s="8" t="str">
        <f ca="1">IFERROR(__xludf.DUMMYFUNCTION("""COMPUTED_VALUE"""),"AS-SVC-OP-UPG - Medium")</f>
        <v>AS-SVC-OP-UPG - Medium</v>
      </c>
      <c r="C150" s="9" t="str">
        <f ca="1">IFERROR(__xludf.DUMMYFUNCTION("""COMPUTED_VALUE"""),"On-Prem Upgrade Services - Medium")</f>
        <v>On-Prem Upgrade Services - Medium</v>
      </c>
      <c r="D150" s="8" t="str">
        <f ca="1">IFERROR(__xludf.DUMMYFUNCTION("""COMPUTED_VALUE"""),"One-Time")</f>
        <v>One-Time</v>
      </c>
      <c r="E150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50" s="8" t="str">
        <f ca="1">IFERROR(__xludf.DUMMYFUNCTION("""COMPUTED_VALUE"""),"CAD")</f>
        <v>CAD</v>
      </c>
      <c r="G150" s="8">
        <f ca="1">IFERROR(__xludf.DUMMYFUNCTION("""COMPUTED_VALUE"""),15139)</f>
        <v>15139</v>
      </c>
      <c r="H150" s="10">
        <f ca="1">IFERROR(__xludf.DUMMYFUNCTION("""COMPUTED_VALUE"""),15139)</f>
        <v>15139</v>
      </c>
    </row>
    <row r="151" spans="1:8">
      <c r="A151" s="8" t="str">
        <f ca="1">IFERROR(__xludf.DUMMYFUNCTION("""COMPUTED_VALUE"""),"AS-SVC-POC")</f>
        <v>AS-SVC-POC</v>
      </c>
      <c r="B151" s="8" t="str">
        <f ca="1">IFERROR(__xludf.DUMMYFUNCTION("""COMPUTED_VALUE"""),"AS-SVC-POC Workplace Comms")</f>
        <v>AS-SVC-POC Workplace Comms</v>
      </c>
      <c r="C151" s="9" t="str">
        <f ca="1">IFERROR(__xludf.DUMMYFUNCTION("""COMPUTED_VALUE"""),"Proof of Concept Workplace Comms")</f>
        <v>Proof of Concept Workplace Comms</v>
      </c>
      <c r="D151" s="8" t="str">
        <f ca="1">IFERROR(__xludf.DUMMYFUNCTION("""COMPUTED_VALUE"""),"One-Time")</f>
        <v>One-Time</v>
      </c>
      <c r="E151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1" s="8" t="str">
        <f ca="1">IFERROR(__xludf.DUMMYFUNCTION("""COMPUTED_VALUE"""),"CAD")</f>
        <v>CAD</v>
      </c>
      <c r="G151" s="8">
        <f ca="1">IFERROR(__xludf.DUMMYFUNCTION("""COMPUTED_VALUE"""),3785)</f>
        <v>3785</v>
      </c>
      <c r="H151" s="10">
        <f ca="1">IFERROR(__xludf.DUMMYFUNCTION("""COMPUTED_VALUE"""),3785)</f>
        <v>3785</v>
      </c>
    </row>
    <row r="152" spans="1:8">
      <c r="A152" s="8" t="str">
        <f ca="1">IFERROR(__xludf.DUMMYFUNCTION("""COMPUTED_VALUE"""),"AS-SVC-POC")</f>
        <v>AS-SVC-POC</v>
      </c>
      <c r="B152" s="8" t="str">
        <f ca="1">IFERROR(__xludf.DUMMYFUNCTION("""COMPUTED_VALUE"""),"AS-SVC-POC Space Management")</f>
        <v>AS-SVC-POC Space Management</v>
      </c>
      <c r="C152" s="9" t="str">
        <f ca="1">IFERROR(__xludf.DUMMYFUNCTION("""COMPUTED_VALUE"""),"Proof of Concept Space Management")</f>
        <v>Proof of Concept Space Management</v>
      </c>
      <c r="D152" s="8" t="str">
        <f ca="1">IFERROR(__xludf.DUMMYFUNCTION("""COMPUTED_VALUE"""),"One-Time")</f>
        <v>One-Time</v>
      </c>
      <c r="E152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2" s="8" t="str">
        <f ca="1">IFERROR(__xludf.DUMMYFUNCTION("""COMPUTED_VALUE"""),"CAD")</f>
        <v>CAD</v>
      </c>
      <c r="G152" s="8">
        <f ca="1">IFERROR(__xludf.DUMMYFUNCTION("""COMPUTED_VALUE"""),3785)</f>
        <v>3785</v>
      </c>
      <c r="H152" s="10">
        <f ca="1">IFERROR(__xludf.DUMMYFUNCTION("""COMPUTED_VALUE"""),3785)</f>
        <v>3785</v>
      </c>
    </row>
    <row r="153" spans="1:8">
      <c r="A153" s="8" t="str">
        <f ca="1">IFERROR(__xludf.DUMMYFUNCTION("""COMPUTED_VALUE"""),"AS-SVC-POC")</f>
        <v>AS-SVC-POC</v>
      </c>
      <c r="B153" s="8" t="str">
        <f ca="1">IFERROR(__xludf.DUMMYFUNCTION("""COMPUTED_VALUE"""),"AS-SVC-POC Employee App")</f>
        <v>AS-SVC-POC Employee App</v>
      </c>
      <c r="C153" s="9" t="str">
        <f ca="1">IFERROR(__xludf.DUMMYFUNCTION("""COMPUTED_VALUE"""),"Proof of Concept Employee App")</f>
        <v>Proof of Concept Employee App</v>
      </c>
      <c r="D153" s="8" t="str">
        <f ca="1">IFERROR(__xludf.DUMMYFUNCTION("""COMPUTED_VALUE"""),"One-Time")</f>
        <v>One-Time</v>
      </c>
      <c r="E153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3" s="8" t="str">
        <f ca="1">IFERROR(__xludf.DUMMYFUNCTION("""COMPUTED_VALUE"""),"CAD")</f>
        <v>CAD</v>
      </c>
      <c r="G153" s="8">
        <f ca="1">IFERROR(__xludf.DUMMYFUNCTION("""COMPUTED_VALUE"""),3785)</f>
        <v>3785</v>
      </c>
      <c r="H153" s="10">
        <f ca="1">IFERROR(__xludf.DUMMYFUNCTION("""COMPUTED_VALUE"""),3785)</f>
        <v>3785</v>
      </c>
    </row>
    <row r="154" spans="1:8">
      <c r="A154" s="8" t="str">
        <f ca="1">IFERROR(__xludf.DUMMYFUNCTION("""COMPUTED_VALUE"""),"AS-SVC-RBC-QST")</f>
        <v>AS-SVC-RBC-QST</v>
      </c>
      <c r="B154" s="8" t="str">
        <f ca="1">IFERROR(__xludf.DUMMYFUNCTION("""COMPUTED_VALUE"""),"AS-SVC-RBC-QST")</f>
        <v>AS-SVC-RBC-QST</v>
      </c>
      <c r="C154" s="9" t="str">
        <f ca="1">IFERROR(__xludf.DUMMYFUNCTION("""COMPUTED_VALUE"""),"Room Booking Card Quick Start")</f>
        <v>Room Booking Card Quick Start</v>
      </c>
      <c r="D154" s="8" t="str">
        <f ca="1">IFERROR(__xludf.DUMMYFUNCTION("""COMPUTED_VALUE"""),"One-Time")</f>
        <v>One-Time</v>
      </c>
      <c r="E154" s="9" t="str">
        <f ca="1">IFERROR(__xludf.DUMMYFUNCTION("""COMPUTED_VALUE"""),"Room Booking Card Quick Start - Room Booking Card Setup. Workshop, configuration for up to 20 rooms, customized instruction and documentation, post-setup review and consultation")</f>
        <v>Room Booking Card Quick Start - Room Booking Card Setup. Workshop, configuration for up to 20 rooms, customized instruction and documentation, post-setup review and consultation</v>
      </c>
      <c r="F154" s="8" t="str">
        <f ca="1">IFERROR(__xludf.DUMMYFUNCTION("""COMPUTED_VALUE"""),"CAD")</f>
        <v>CAD</v>
      </c>
      <c r="G154" s="8">
        <f ca="1">IFERROR(__xludf.DUMMYFUNCTION("""COMPUTED_VALUE"""),7570)</f>
        <v>7570</v>
      </c>
      <c r="H154" s="10">
        <f ca="1">IFERROR(__xludf.DUMMYFUNCTION("""COMPUTED_VALUE"""),7570)</f>
        <v>7570</v>
      </c>
    </row>
    <row r="155" spans="1:8">
      <c r="A155" s="8" t="str">
        <f ca="1">IFERROR(__xludf.DUMMYFUNCTION("""COMPUTED_VALUE"""),"AS-SVC-SUPPORT-24-7")</f>
        <v>AS-SVC-SUPPORT-24-7</v>
      </c>
      <c r="B155" s="8" t="str">
        <f ca="1">IFERROR(__xludf.DUMMYFUNCTION("""COMPUTED_VALUE"""),"Annual Plan AS-SVC-SUPPORT-24-7")</f>
        <v>Annual Plan AS-SVC-SUPPORT-24-7</v>
      </c>
      <c r="C155" s="9" t="str">
        <f ca="1">IFERROR(__xludf.DUMMYFUNCTION("""COMPUTED_VALUE"""),"Support Add-on - 24-7")</f>
        <v>Support Add-on - 24-7</v>
      </c>
      <c r="D155" s="8" t="str">
        <f ca="1">IFERROR(__xludf.DUMMYFUNCTION("""COMPUTED_VALUE"""),"Recurring")</f>
        <v>Recurring</v>
      </c>
      <c r="E155" s="9" t="str">
        <f ca="1">IFERROR(__xludf.DUMMYFUNCTION("""COMPUTED_VALUE"""),"Appspace Support Add-on - 24-7. Provides round-the-clock Appspace Customer Care support: 1-hour SLA, 7 days a week, 24 hours per day, unlimited tickets per month, and 20 ticket administrators.")</f>
        <v>Appspace Support Add-on - 24-7. Provides round-the-clock Appspace Customer Care support: 1-hour SLA, 7 days a week, 24 hours per day, unlimited tickets per month, and 20 ticket administrators.</v>
      </c>
      <c r="F155" s="8" t="str">
        <f ca="1">IFERROR(__xludf.DUMMYFUNCTION("""COMPUTED_VALUE"""),"CAD")</f>
        <v>CAD</v>
      </c>
      <c r="G155" s="8">
        <f ca="1">IFERROR(__xludf.DUMMYFUNCTION("""COMPUTED_VALUE"""),4542)</f>
        <v>4542</v>
      </c>
      <c r="H155" s="10">
        <f ca="1">IFERROR(__xludf.DUMMYFUNCTION("""COMPUTED_VALUE"""),54504)</f>
        <v>54504</v>
      </c>
    </row>
    <row r="156" spans="1:8">
      <c r="A156" s="8" t="str">
        <f ca="1">IFERROR(__xludf.DUMMYFUNCTION("""COMPUTED_VALUE"""),"AS-SVC-SUPPORT-ELITE")</f>
        <v>AS-SVC-SUPPORT-ELITE</v>
      </c>
      <c r="B156" s="8" t="str">
        <f ca="1">IFERROR(__xludf.DUMMYFUNCTION("""COMPUTED_VALUE"""),"Annual Plan AS-SVC-SUPPORT-ELITE")</f>
        <v>Annual Plan AS-SVC-SUPPORT-ELITE</v>
      </c>
      <c r="C156" s="9" t="str">
        <f ca="1">IFERROR(__xludf.DUMMYFUNCTION("""COMPUTED_VALUE"""),"Support Add-on - Elite")</f>
        <v>Support Add-on - Elite</v>
      </c>
      <c r="D156" s="8" t="str">
        <f ca="1">IFERROR(__xludf.DUMMYFUNCTION("""COMPUTED_VALUE"""),"Recurring")</f>
        <v>Recurring</v>
      </c>
      <c r="E156" s="9" t="str">
        <f ca="1">IFERROR(__xludf.DUMMYFUNCTION("""COMPUTED_VALUE"""),"Appspace Support Add-on - Elite. Provides access to Elite-level Appspace Customer Care support.")</f>
        <v>Appspace Support Add-on - Elite. Provides access to Elite-level Appspace Customer Care support.</v>
      </c>
      <c r="F156" s="8" t="str">
        <f ca="1">IFERROR(__xludf.DUMMYFUNCTION("""COMPUTED_VALUE"""),"CAD")</f>
        <v>CAD</v>
      </c>
      <c r="G156" s="8">
        <f ca="1">IFERROR(__xludf.DUMMYFUNCTION("""COMPUTED_VALUE"""),1514)</f>
        <v>1514</v>
      </c>
      <c r="H156" s="10">
        <f ca="1">IFERROR(__xludf.DUMMYFUNCTION("""COMPUTED_VALUE"""),18168)</f>
        <v>18168</v>
      </c>
    </row>
    <row r="157" spans="1:8">
      <c r="A157" s="8" t="str">
        <f ca="1">IFERROR(__xludf.DUMMYFUNCTION("""COMPUTED_VALUE"""),"AS-SVC-SUPPORT-SAM")</f>
        <v>AS-SVC-SUPPORT-SAM</v>
      </c>
      <c r="B157" s="8" t="str">
        <f ca="1">IFERROR(__xludf.DUMMYFUNCTION("""COMPUTED_VALUE"""),"Annual Plan AS-SVC-SUPPORT-SAM")</f>
        <v>Annual Plan AS-SVC-SUPPORT-SAM</v>
      </c>
      <c r="C157" s="9" t="str">
        <f ca="1">IFERROR(__xludf.DUMMYFUNCTION("""COMPUTED_VALUE"""),"Support Account Manager")</f>
        <v>Support Account Manager</v>
      </c>
      <c r="D157" s="8" t="str">
        <f ca="1">IFERROR(__xludf.DUMMYFUNCTION("""COMPUTED_VALUE"""),"Recurring")</f>
        <v>Recurring</v>
      </c>
      <c r="E157" s="9" t="str">
        <f ca="1">IFERROR(__xludf.DUMMYFUNCTION("""COMPUTED_VALUE"""),"Appspace Support Account Manager Add-on. Provides access to a designated Support Account Manager who understands your Appspace deployment and manages your support workflow")</f>
        <v>Appspace Support Account Manager Add-on. Provides access to a designated Support Account Manager who understands your Appspace deployment and manages your support workflow</v>
      </c>
      <c r="F157" s="8" t="str">
        <f ca="1">IFERROR(__xludf.DUMMYFUNCTION("""COMPUTED_VALUE"""),"CAD")</f>
        <v>CAD</v>
      </c>
      <c r="G157" s="8">
        <f ca="1">IFERROR(__xludf.DUMMYFUNCTION("""COMPUTED_VALUE"""),6056)</f>
        <v>6056</v>
      </c>
      <c r="H157" s="10">
        <f ca="1">IFERROR(__xludf.DUMMYFUNCTION("""COMPUTED_VALUE"""),72672)</f>
        <v>72672</v>
      </c>
    </row>
    <row r="158" spans="1:8">
      <c r="A158" s="8" t="str">
        <f ca="1">IFERROR(__xludf.DUMMYFUNCTION("""COMPUTED_VALUE"""),"AS-SVC-SUPPORT-STR")</f>
        <v>AS-SVC-SUPPORT-STR</v>
      </c>
      <c r="B158" s="8" t="str">
        <f ca="1">IFERROR(__xludf.DUMMYFUNCTION("""COMPUTED_VALUE"""),"Annual Plan AS-SVC-SUPPORT-STR")</f>
        <v>Annual Plan AS-SVC-SUPPORT-STR</v>
      </c>
      <c r="C158" s="9" t="str">
        <f ca="1">IFERROR(__xludf.DUMMYFUNCTION("""COMPUTED_VALUE"""),"Support Add-on - Strategic")</f>
        <v>Support Add-on - Strategic</v>
      </c>
      <c r="D158" s="8" t="str">
        <f ca="1">IFERROR(__xludf.DUMMYFUNCTION("""COMPUTED_VALUE"""),"Recurring")</f>
        <v>Recurring</v>
      </c>
      <c r="E158" s="9" t="str">
        <f ca="1">IFERROR(__xludf.DUMMYFUNCTION("""COMPUTED_VALUE"""),"Appspace Support Add-on - Strategic. 24-7 Appspace Customer Care support, 1-hour SLA, unlimited tickets, 20 ticket administrators, executive-level sponsorship, dedicated 6-person support team, prioritized ticket handling, and monthly ticket analytics.")</f>
        <v>Appspace Support Add-on - Strategic. 24-7 Appspace Customer Care support, 1-hour SLA, unlimited tickets, 20 ticket administrators, executive-level sponsorship, dedicated 6-person support team, prioritized ticket handling, and monthly ticket analytics.</v>
      </c>
      <c r="F158" s="8" t="str">
        <f ca="1">IFERROR(__xludf.DUMMYFUNCTION("""COMPUTED_VALUE"""),"CAD")</f>
        <v>CAD</v>
      </c>
      <c r="G158" s="8">
        <f ca="1">IFERROR(__xludf.DUMMYFUNCTION("""COMPUTED_VALUE"""),15139)</f>
        <v>15139</v>
      </c>
      <c r="H158" s="10">
        <f ca="1">IFERROR(__xludf.DUMMYFUNCTION("""COMPUTED_VALUE"""),181668)</f>
        <v>181668</v>
      </c>
    </row>
    <row r="159" spans="1:8">
      <c r="A159" s="8" t="str">
        <f ca="1">IFERROR(__xludf.DUMMYFUNCTION("""COMPUTED_VALUE"""),"AS-SVC-TRAINING-ACC")</f>
        <v>AS-SVC-TRAINING-ACC</v>
      </c>
      <c r="B159" s="8" t="str">
        <f ca="1">IFERROR(__xludf.DUMMYFUNCTION("""COMPUTED_VALUE"""),"Annual Plan AS-SVC-TRAINING-ACC")</f>
        <v>Annual Plan AS-SVC-TRAINING-ACC</v>
      </c>
      <c r="C159" s="9" t="str">
        <f ca="1">IFERROR(__xludf.DUMMYFUNCTION("""COMPUTED_VALUE"""),"All-Access Training")</f>
        <v>All-Access Training</v>
      </c>
      <c r="D159" s="8" t="str">
        <f ca="1">IFERROR(__xludf.DUMMYFUNCTION("""COMPUTED_VALUE"""),"Recurring")</f>
        <v>Recurring</v>
      </c>
      <c r="E159" s="9" t="str">
        <f ca="1">IFERROR(__xludf.DUMMYFUNCTION("""COMPUTED_VALUE"""),"Twelve month, unlimited monthly access to Appspace Basic &amp; Premium trainings and workshops.")</f>
        <v>Twelve month, unlimited monthly access to Appspace Basic &amp; Premium trainings and workshops.</v>
      </c>
      <c r="F159" s="8" t="str">
        <f ca="1">IFERROR(__xludf.DUMMYFUNCTION("""COMPUTED_VALUE"""),"CAD")</f>
        <v>CAD</v>
      </c>
      <c r="G159" s="8">
        <f ca="1">IFERROR(__xludf.DUMMYFUNCTION("""COMPUTED_VALUE"""),3028)</f>
        <v>3028</v>
      </c>
      <c r="H159" s="10">
        <f ca="1">IFERROR(__xludf.DUMMYFUNCTION("""COMPUTED_VALUE"""),36336)</f>
        <v>36336</v>
      </c>
    </row>
    <row r="160" spans="1:8">
      <c r="A160" s="8" t="str">
        <f ca="1">IFERROR(__xludf.DUMMYFUNCTION("""COMPUTED_VALUE"""),"AS-SVC-TRAINING-BASIC")</f>
        <v>AS-SVC-TRAINING-BASIC</v>
      </c>
      <c r="B160" s="8" t="str">
        <f ca="1">IFERROR(__xludf.DUMMYFUNCTION("""COMPUTED_VALUE"""),"AS-SVC-TRAINING-BASIC-LEGACY")</f>
        <v>AS-SVC-TRAINING-BASIC-LEGACY</v>
      </c>
      <c r="C160" s="9" t="str">
        <f ca="1">IFERROR(__xludf.DUMMYFUNCTION("""COMPUTED_VALUE"""),"Platform Training Basic")</f>
        <v>Platform Training Basic</v>
      </c>
      <c r="D160" s="8" t="str">
        <f ca="1">IFERROR(__xludf.DUMMYFUNCTION("""COMPUTED_VALUE"""),"One-Time")</f>
        <v>One-Time</v>
      </c>
      <c r="E160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0" s="8" t="str">
        <f ca="1">IFERROR(__xludf.DUMMYFUNCTION("""COMPUTED_VALUE"""),"CAD")</f>
        <v>CAD</v>
      </c>
      <c r="G160" s="8">
        <f ca="1">IFERROR(__xludf.DUMMYFUNCTION("""COMPUTED_VALUE"""),757)</f>
        <v>757</v>
      </c>
      <c r="H160" s="8">
        <f ca="1">IFERROR(__xludf.DUMMYFUNCTION("""COMPUTED_VALUE"""),757)</f>
        <v>757</v>
      </c>
    </row>
    <row r="161" spans="1:8">
      <c r="A161" s="8" t="str">
        <f ca="1">IFERROR(__xludf.DUMMYFUNCTION("""COMPUTED_VALUE"""),"AS-SVC-TRAINING-BASIC")</f>
        <v>AS-SVC-TRAINING-BASIC</v>
      </c>
      <c r="B161" s="8" t="str">
        <f ca="1">IFERROR(__xludf.DUMMYFUNCTION("""COMPUTED_VALUE"""),"AS-SVC-TRAINING-BASIC")</f>
        <v>AS-SVC-TRAINING-BASIC</v>
      </c>
      <c r="C161" s="9" t="str">
        <f ca="1">IFERROR(__xludf.DUMMYFUNCTION("""COMPUTED_VALUE"""),"Platform Training Basic")</f>
        <v>Platform Training Basic</v>
      </c>
      <c r="D161" s="8" t="str">
        <f ca="1">IFERROR(__xludf.DUMMYFUNCTION("""COMPUTED_VALUE"""),"One-Time")</f>
        <v>One-Time</v>
      </c>
      <c r="E161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1" s="8" t="str">
        <f ca="1">IFERROR(__xludf.DUMMYFUNCTION("""COMPUTED_VALUE"""),"CAD")</f>
        <v>CAD</v>
      </c>
      <c r="G161" s="8">
        <f ca="1">IFERROR(__xludf.DUMMYFUNCTION("""COMPUTED_VALUE"""),757)</f>
        <v>757</v>
      </c>
      <c r="H161" s="10">
        <f ca="1">IFERROR(__xludf.DUMMYFUNCTION("""COMPUTED_VALUE"""),757)</f>
        <v>757</v>
      </c>
    </row>
    <row r="162" spans="1:8">
      <c r="A162" s="8" t="str">
        <f ca="1">IFERROR(__xludf.DUMMYFUNCTION("""COMPUTED_VALUE"""),"AS-SVC-TRAINING-PREMIUM")</f>
        <v>AS-SVC-TRAINING-PREMIUM</v>
      </c>
      <c r="B162" s="8" t="str">
        <f ca="1">IFERROR(__xludf.DUMMYFUNCTION("""COMPUTED_VALUE"""),"AS-SVC-TRAINING-PREMIUM")</f>
        <v>AS-SVC-TRAINING-PREMIUM</v>
      </c>
      <c r="C162" s="9" t="str">
        <f ca="1">IFERROR(__xludf.DUMMYFUNCTION("""COMPUTED_VALUE"""),"Platform Training Premium")</f>
        <v>Platform Training Premium</v>
      </c>
      <c r="D162" s="8" t="str">
        <f ca="1">IFERROR(__xludf.DUMMYFUNCTION("""COMPUTED_VALUE"""),"One-Time")</f>
        <v>One-Time</v>
      </c>
      <c r="E162" s="9" t="str">
        <f ca="1">IFERROR(__xludf.DUMMYFUNCTION("""COMPUTED_VALUE"""),"Appspace Platform Training - Premium. Half-day workshop with Appspace Subject Matter Experts, offering hands-on experience through labs and interactive exercises.")</f>
        <v>Appspace Platform Training - Premium. Half-day workshop with Appspace Subject Matter Experts, offering hands-on experience through labs and interactive exercises.</v>
      </c>
      <c r="F162" s="8" t="str">
        <f ca="1">IFERROR(__xludf.DUMMYFUNCTION("""COMPUTED_VALUE"""),"CAD")</f>
        <v>CAD</v>
      </c>
      <c r="G162" s="8">
        <f ca="1">IFERROR(__xludf.DUMMYFUNCTION("""COMPUTED_VALUE"""),3785)</f>
        <v>3785</v>
      </c>
      <c r="H162" s="10">
        <f ca="1">IFERROR(__xludf.DUMMYFUNCTION("""COMPUTED_VALUE"""),3785)</f>
        <v>3785</v>
      </c>
    </row>
    <row r="163" spans="1:8">
      <c r="A163" s="8" t="str">
        <f ca="1">IFERROR(__xludf.DUMMYFUNCTION("""COMPUTED_VALUE"""),"AS-SVC-VM-QST-BASIC")</f>
        <v>AS-SVC-VM-QST-BASIC</v>
      </c>
      <c r="B163" s="8" t="str">
        <f ca="1">IFERROR(__xludf.DUMMYFUNCTION("""COMPUTED_VALUE"""),"AS-SVC-VM-QST-BASIC")</f>
        <v>AS-SVC-VM-QST-BASIC</v>
      </c>
      <c r="C163" s="9" t="str">
        <f ca="1">IFERROR(__xludf.DUMMYFUNCTION("""COMPUTED_VALUE"""),"Visitor Management Quick Start Basic")</f>
        <v>Visitor Management Quick Start Basic</v>
      </c>
      <c r="D163" s="8" t="str">
        <f ca="1">IFERROR(__xludf.DUMMYFUNCTION("""COMPUTED_VALUE"""),"One-Time")</f>
        <v>One-Time</v>
      </c>
      <c r="E163" s="9" t="str">
        <f ca="1">IFERROR(__xludf.DUMMYFUNCTION("""COMPUTED_VALUE"""),"Visitor Management Quick Start Basic - Discovery session, customized setup documentation, administrator essentials on-demand webinar, pre-go-live setup review.")</f>
        <v>Visitor Management Quick Start Basic - Discovery session, customized setup documentation, administrator essentials on-demand webinar, pre-go-live setup review.</v>
      </c>
      <c r="F163" s="8" t="str">
        <f ca="1">IFERROR(__xludf.DUMMYFUNCTION("""COMPUTED_VALUE"""),"CAD")</f>
        <v>CAD</v>
      </c>
      <c r="G163" s="8">
        <f ca="1">IFERROR(__xludf.DUMMYFUNCTION("""COMPUTED_VALUE"""),3785)</f>
        <v>3785</v>
      </c>
      <c r="H163" s="10">
        <f ca="1">IFERROR(__xludf.DUMMYFUNCTION("""COMPUTED_VALUE"""),3785)</f>
        <v>3785</v>
      </c>
    </row>
    <row r="164" spans="1:8">
      <c r="A164" s="8" t="str">
        <f ca="1">IFERROR(__xludf.DUMMYFUNCTION("""COMPUTED_VALUE"""),"AS-SVC-VM-QST-ELITE")</f>
        <v>AS-SVC-VM-QST-ELITE</v>
      </c>
      <c r="B164" s="8" t="str">
        <f ca="1">IFERROR(__xludf.DUMMYFUNCTION("""COMPUTED_VALUE"""),"AS-SVC-VM-QST-ELITE")</f>
        <v>AS-SVC-VM-QST-ELITE</v>
      </c>
      <c r="C164" s="9" t="str">
        <f ca="1">IFERROR(__xludf.DUMMYFUNCTION("""COMPUTED_VALUE"""),"Visitor Management Quick Start Elite")</f>
        <v>Visitor Management Quick Start Elite</v>
      </c>
      <c r="D164" s="8" t="str">
        <f ca="1">IFERROR(__xludf.DUMMYFUNCTION("""COMPUTED_VALUE"""),"One-Time")</f>
        <v>One-Time</v>
      </c>
      <c r="E164" s="9" t="str">
        <f ca="1">IFERROR(__xludf.DUMMYFUNCTION("""COMPUTED_VALUE"""),"Visitor Management Quick Start Elite - Mutliple-configuration implementation. Discovery workshops, configurations, badge printing setup, branded checkpoint templates, four customized checkpoint templates, documentation, administrator training.")</f>
        <v>Visitor Management Quick Start Elite - Mutliple-configuration implementation. Discovery workshops, configurations, badge printing setup, branded checkpoint templates, four customized checkpoint templates, documentation, administrator training.</v>
      </c>
      <c r="F164" s="8" t="str">
        <f ca="1">IFERROR(__xludf.DUMMYFUNCTION("""COMPUTED_VALUE"""),"CAD")</f>
        <v>CAD</v>
      </c>
      <c r="G164" s="8">
        <f ca="1">IFERROR(__xludf.DUMMYFUNCTION("""COMPUTED_VALUE"""),30279)</f>
        <v>30279</v>
      </c>
      <c r="H164" s="10">
        <f ca="1">IFERROR(__xludf.DUMMYFUNCTION("""COMPUTED_VALUE"""),30279)</f>
        <v>30279</v>
      </c>
    </row>
    <row r="165" spans="1:8">
      <c r="A165" s="8" t="str">
        <f ca="1">IFERROR(__xludf.DUMMYFUNCTION("""COMPUTED_VALUE"""),"AS-SVC-VM-QST-PREMIUM")</f>
        <v>AS-SVC-VM-QST-PREMIUM</v>
      </c>
      <c r="B165" s="8" t="str">
        <f ca="1">IFERROR(__xludf.DUMMYFUNCTION("""COMPUTED_VALUE"""),"AS-SVC-VM-QST-PREMIUM")</f>
        <v>AS-SVC-VM-QST-PREMIUM</v>
      </c>
      <c r="C165" s="9" t="str">
        <f ca="1">IFERROR(__xludf.DUMMYFUNCTION("""COMPUTED_VALUE"""),"Visitor Management Quick Start Premium")</f>
        <v>Visitor Management Quick Start Premium</v>
      </c>
      <c r="D165" s="8" t="str">
        <f ca="1">IFERROR(__xludf.DUMMYFUNCTION("""COMPUTED_VALUE"""),"One-Time")</f>
        <v>One-Time</v>
      </c>
      <c r="E165" s="9" t="str">
        <f ca="1">IFERROR(__xludf.DUMMYFUNCTION("""COMPUTED_VALUE"""),"Visitor Management Quick Start Premium - Single-configuration implementation. Discovery workshop, configuration, badge printing setup, branded checkpoint templates, two customized checkpoint templates, documentation, administrator training.")</f>
        <v>Visitor Management Quick Start Premium - Single-configuration implementation. Discovery workshop, configuration, badge printing setup, branded checkpoint templates, two customized checkpoint templates, documentation, administrator training.</v>
      </c>
      <c r="F165" s="8" t="str">
        <f ca="1">IFERROR(__xludf.DUMMYFUNCTION("""COMPUTED_VALUE"""),"CAD")</f>
        <v>CAD</v>
      </c>
      <c r="G165" s="8">
        <f ca="1">IFERROR(__xludf.DUMMYFUNCTION("""COMPUTED_VALUE"""),15139)</f>
        <v>15139</v>
      </c>
      <c r="H165" s="10">
        <f ca="1">IFERROR(__xludf.DUMMYFUNCTION("""COMPUTED_VALUE"""),15139)</f>
        <v>15139</v>
      </c>
    </row>
    <row r="166" spans="1:8">
      <c r="A166" s="8" t="str">
        <f ca="1">IFERROR(__xludf.DUMMYFUNCTION("""COMPUTED_VALUE"""),"AS-SVC-WF-BASIC")</f>
        <v>AS-SVC-WF-BASIC</v>
      </c>
      <c r="B166" s="8" t="str">
        <f ca="1">IFERROR(__xludf.DUMMYFUNCTION("""COMPUTED_VALUE"""),"AS-SVC-WF-BASIC With 2D Map")</f>
        <v>AS-SVC-WF-BASIC With 2D Map</v>
      </c>
      <c r="C166" s="9" t="str">
        <f ca="1">IFERROR(__xludf.DUMMYFUNCTION("""COMPUTED_VALUE"""),"Appspace Wayfinding Basic")</f>
        <v>Appspace Wayfinding Basic</v>
      </c>
      <c r="D166" s="8" t="str">
        <f ca="1">IFERROR(__xludf.DUMMYFUNCTION("""COMPUTED_VALUE"""),"One-Time")</f>
        <v>One-Time</v>
      </c>
      <c r="E166" s="9" t="str">
        <f ca="1">IFERROR(__xludf.DUMMYFUNCTION("""COMPUTED_VALUE"""),"Appspace Wayfinding")</f>
        <v>Appspace Wayfinding</v>
      </c>
      <c r="F166" s="8" t="str">
        <f ca="1">IFERROR(__xludf.DUMMYFUNCTION("""COMPUTED_VALUE"""),"CAD")</f>
        <v>CAD</v>
      </c>
      <c r="G166" s="8">
        <f ca="1">IFERROR(__xludf.DUMMYFUNCTION("""COMPUTED_VALUE"""),7570)</f>
        <v>7570</v>
      </c>
      <c r="H166" s="10">
        <f ca="1">IFERROR(__xludf.DUMMYFUNCTION("""COMPUTED_VALUE"""),7570)</f>
        <v>7570</v>
      </c>
    </row>
    <row r="167" spans="1:8">
      <c r="A167" s="8" t="str">
        <f ca="1">IFERROR(__xludf.DUMMYFUNCTION("""COMPUTED_VALUE"""),"AS-SVC-WF-BASIC")</f>
        <v>AS-SVC-WF-BASIC</v>
      </c>
      <c r="B167" s="8" t="str">
        <f ca="1">IFERROR(__xludf.DUMMYFUNCTION("""COMPUTED_VALUE"""),"AS-SVC-WF-BASIC With 3D Map")</f>
        <v>AS-SVC-WF-BASIC With 3D Map</v>
      </c>
      <c r="C167" s="9" t="str">
        <f ca="1">IFERROR(__xludf.DUMMYFUNCTION("""COMPUTED_VALUE"""),"Appspace Wayfinding Basic")</f>
        <v>Appspace Wayfinding Basic</v>
      </c>
      <c r="D167" s="8" t="str">
        <f ca="1">IFERROR(__xludf.DUMMYFUNCTION("""COMPUTED_VALUE"""),"One-Time")</f>
        <v>One-Time</v>
      </c>
      <c r="E167" s="9" t="str">
        <f ca="1">IFERROR(__xludf.DUMMYFUNCTION("""COMPUTED_VALUE"""),"Appspace Wayfinding")</f>
        <v>Appspace Wayfinding</v>
      </c>
      <c r="F167" s="8" t="str">
        <f ca="1">IFERROR(__xludf.DUMMYFUNCTION("""COMPUTED_VALUE"""),"CAD")</f>
        <v>CAD</v>
      </c>
      <c r="G167" s="8">
        <f ca="1">IFERROR(__xludf.DUMMYFUNCTION("""COMPUTED_VALUE"""),7570)</f>
        <v>7570</v>
      </c>
      <c r="H167" s="10">
        <f ca="1">IFERROR(__xludf.DUMMYFUNCTION("""COMPUTED_VALUE"""),7570)</f>
        <v>7570</v>
      </c>
    </row>
    <row r="168" spans="1:8">
      <c r="A168" s="8" t="str">
        <f ca="1">IFERROR(__xludf.DUMMYFUNCTION("""COMPUTED_VALUE"""),"AS-SVC-WF-ELITE")</f>
        <v>AS-SVC-WF-ELITE</v>
      </c>
      <c r="B168" s="8" t="str">
        <f ca="1">IFERROR(__xludf.DUMMYFUNCTION("""COMPUTED_VALUE"""),"AS-SVC-WF-ELITE")</f>
        <v>AS-SVC-WF-ELITE</v>
      </c>
      <c r="C168" s="9" t="str">
        <f ca="1">IFERROR(__xludf.DUMMYFUNCTION("""COMPUTED_VALUE"""),"Wayfinding - Elite")</f>
        <v>Wayfinding - Elite</v>
      </c>
      <c r="D168" s="8" t="str">
        <f ca="1">IFERROR(__xludf.DUMMYFUNCTION("""COMPUTED_VALUE"""),"One-Time")</f>
        <v>One-Time</v>
      </c>
      <c r="E168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8" s="8" t="str">
        <f ca="1">IFERROR(__xludf.DUMMYFUNCTION("""COMPUTED_VALUE"""),"CAD")</f>
        <v>CAD</v>
      </c>
      <c r="G168" s="8">
        <f ca="1">IFERROR(__xludf.DUMMYFUNCTION("""COMPUTED_VALUE"""),30279)</f>
        <v>30279</v>
      </c>
      <c r="H168" s="10">
        <f ca="1">IFERROR(__xludf.DUMMYFUNCTION("""COMPUTED_VALUE"""),30279)</f>
        <v>30279</v>
      </c>
    </row>
    <row r="169" spans="1:8">
      <c r="A169" s="8" t="str">
        <f ca="1">IFERROR(__xludf.DUMMYFUNCTION("""COMPUTED_VALUE"""),"AS-SVC-WF-ELITE")</f>
        <v>AS-SVC-WF-ELITE</v>
      </c>
      <c r="B169" s="8" t="str">
        <f ca="1">IFERROR(__xludf.DUMMYFUNCTION("""COMPUTED_VALUE"""),"AS-SVC-WF-ELITE 2D")</f>
        <v>AS-SVC-WF-ELITE 2D</v>
      </c>
      <c r="C169" s="9" t="str">
        <f ca="1">IFERROR(__xludf.DUMMYFUNCTION("""COMPUTED_VALUE"""),"Wayfinding - Elite")</f>
        <v>Wayfinding - Elite</v>
      </c>
      <c r="D169" s="8" t="str">
        <f ca="1">IFERROR(__xludf.DUMMYFUNCTION("""COMPUTED_VALUE"""),"One-Time")</f>
        <v>One-Time</v>
      </c>
      <c r="E169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9" s="8" t="str">
        <f ca="1">IFERROR(__xludf.DUMMYFUNCTION("""COMPUTED_VALUE"""),"CAD")</f>
        <v>CAD</v>
      </c>
      <c r="G169" s="8">
        <f ca="1">IFERROR(__xludf.DUMMYFUNCTION("""COMPUTED_VALUE"""),37849)</f>
        <v>37849</v>
      </c>
      <c r="H169" s="10">
        <f ca="1">IFERROR(__xludf.DUMMYFUNCTION("""COMPUTED_VALUE"""),37849)</f>
        <v>37849</v>
      </c>
    </row>
    <row r="170" spans="1:8">
      <c r="A170" s="8" t="str">
        <f ca="1">IFERROR(__xludf.DUMMYFUNCTION("""COMPUTED_VALUE"""),"AS-SVC-WF-ELITE")</f>
        <v>AS-SVC-WF-ELITE</v>
      </c>
      <c r="B170" s="8" t="str">
        <f ca="1">IFERROR(__xludf.DUMMYFUNCTION("""COMPUTED_VALUE"""),"AS-SVC-WF-ELITE 3D")</f>
        <v>AS-SVC-WF-ELITE 3D</v>
      </c>
      <c r="C170" s="9" t="str">
        <f ca="1">IFERROR(__xludf.DUMMYFUNCTION("""COMPUTED_VALUE"""),"Wayfinding - Elite")</f>
        <v>Wayfinding - Elite</v>
      </c>
      <c r="D170" s="8" t="str">
        <f ca="1">IFERROR(__xludf.DUMMYFUNCTION("""COMPUTED_VALUE"""),"One-Time")</f>
        <v>One-Time</v>
      </c>
      <c r="E170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70" s="8" t="str">
        <f ca="1">IFERROR(__xludf.DUMMYFUNCTION("""COMPUTED_VALUE"""),"CAD")</f>
        <v>CAD</v>
      </c>
      <c r="G170" s="8">
        <f ca="1">IFERROR(__xludf.DUMMYFUNCTION("""COMPUTED_VALUE"""),37849)</f>
        <v>37849</v>
      </c>
      <c r="H170" s="10">
        <f ca="1">IFERROR(__xludf.DUMMYFUNCTION("""COMPUTED_VALUE"""),37849)</f>
        <v>37849</v>
      </c>
    </row>
    <row r="171" spans="1:8">
      <c r="A171" s="8" t="str">
        <f ca="1">IFERROR(__xludf.DUMMYFUNCTION("""COMPUTED_VALUE"""),"AS-SVC-WF-PREMIUM")</f>
        <v>AS-SVC-WF-PREMIUM</v>
      </c>
      <c r="B171" s="8" t="str">
        <f ca="1">IFERROR(__xludf.DUMMYFUNCTION("""COMPUTED_VALUE"""),"AS-SVC-WF-PREMIUM With 2D Map")</f>
        <v>AS-SVC-WF-PREMIUM With 2D Map</v>
      </c>
      <c r="C171" s="9" t="str">
        <f ca="1">IFERROR(__xludf.DUMMYFUNCTION("""COMPUTED_VALUE"""),"Appspace Wayfinding Premium")</f>
        <v>Appspace Wayfinding Premium</v>
      </c>
      <c r="D171" s="8" t="str">
        <f ca="1">IFERROR(__xludf.DUMMYFUNCTION("""COMPUTED_VALUE"""),"One-Time")</f>
        <v>One-Time</v>
      </c>
      <c r="E171" s="9" t="str">
        <f ca="1">IFERROR(__xludf.DUMMYFUNCTION("""COMPUTED_VALUE"""),"Wayfinding - Premium")</f>
        <v>Wayfinding - Premium</v>
      </c>
      <c r="F171" s="8" t="str">
        <f ca="1">IFERROR(__xludf.DUMMYFUNCTION("""COMPUTED_VALUE"""),"CAD")</f>
        <v>CAD</v>
      </c>
      <c r="G171" s="8">
        <f ca="1">IFERROR(__xludf.DUMMYFUNCTION("""COMPUTED_VALUE"""),15139)</f>
        <v>15139</v>
      </c>
      <c r="H171" s="10">
        <f ca="1">IFERROR(__xludf.DUMMYFUNCTION("""COMPUTED_VALUE"""),15139)</f>
        <v>15139</v>
      </c>
    </row>
    <row r="172" spans="1:8">
      <c r="A172" s="8" t="str">
        <f ca="1">IFERROR(__xludf.DUMMYFUNCTION("""COMPUTED_VALUE"""),"AS-SVC-WPM-ADVISORY")</f>
        <v>AS-SVC-WPM-ADVISORY</v>
      </c>
      <c r="B172" s="8" t="str">
        <f ca="1">IFERROR(__xludf.DUMMYFUNCTION("""COMPUTED_VALUE"""),"Annual Plan AS-SVC-WPM-ADVISORY")</f>
        <v>Annual Plan AS-SVC-WPM-ADVISORY</v>
      </c>
      <c r="C172" s="9" t="str">
        <f ca="1">IFERROR(__xludf.DUMMYFUNCTION("""COMPUTED_VALUE"""),"Workplace Management Advisory")</f>
        <v>Workplace Management Advisory</v>
      </c>
      <c r="D172" s="8" t="str">
        <f ca="1">IFERROR(__xludf.DUMMYFUNCTION("""COMPUTED_VALUE"""),"Recurring")</f>
        <v>Recurring</v>
      </c>
      <c r="E172" s="9" t="str">
        <f ca="1">IFERROR(__xludf.DUMMYFUNCTION("""COMPUTED_VALUE"""),"Workplace Management Advisory - Comprehensive Workplace Management strategy for your digital &amp; physical workplaces. Ongoing strategic insight into platform usage, industry trends, and product development.")</f>
        <v>Workplace Management Advisory - Comprehensive Workplace Management strategy for your digital &amp; physical workplaces. Ongoing strategic insight into platform usage, industry trends, and product development.</v>
      </c>
      <c r="F172" s="8" t="str">
        <f ca="1">IFERROR(__xludf.DUMMYFUNCTION("""COMPUTED_VALUE"""),"CAD")</f>
        <v>CAD</v>
      </c>
      <c r="G172" s="8">
        <f ca="1">IFERROR(__xludf.DUMMYFUNCTION("""COMPUTED_VALUE"""),4542)</f>
        <v>4542</v>
      </c>
      <c r="H172" s="10">
        <f ca="1">IFERROR(__xludf.DUMMYFUNCTION("""COMPUTED_VALUE"""),54504)</f>
        <v>54504</v>
      </c>
    </row>
    <row r="173" spans="1:8">
      <c r="A173" s="8" t="str">
        <f ca="1">IFERROR(__xludf.DUMMYFUNCTION("""COMPUTED_VALUE"""),"AS-SVC-WPM-QST-ELITE")</f>
        <v>AS-SVC-WPM-QST-ELITE</v>
      </c>
      <c r="B173" s="8" t="str">
        <f ca="1">IFERROR(__xludf.DUMMYFUNCTION("""COMPUTED_VALUE"""),"AS-SVC-WPM-QST-ELITE")</f>
        <v>AS-SVC-WPM-QST-ELITE</v>
      </c>
      <c r="C173" s="9" t="str">
        <f ca="1">IFERROR(__xludf.DUMMYFUNCTION("""COMPUTED_VALUE"""),"Workplace Management Quick Start Elite")</f>
        <v>Workplace Management Quick Start Elite</v>
      </c>
      <c r="D173" s="8" t="str">
        <f ca="1">IFERROR(__xludf.DUMMYFUNCTION("""COMPUTED_VALUE"""),"One-Time")</f>
        <v>One-Time</v>
      </c>
      <c r="E173" s="9" t="str">
        <f ca="1">IFERROR(__xludf.DUMMYFUNCTION("""COMPUTED_VALUE"""),"Workplace Management Quick Start Elite - Multiple-location implementation. Customized implementation plan, Elite Quick Start for Space Reservation, Room Booking, Visitor Management, Elite Wayfinding kiosk. Includes up to first 15 floors.")</f>
        <v>Workplace Management Quick Start Elite - Multiple-location implementation. Customized implementation plan, Elite Quick Start for Space Reservation, Room Booking, Visitor Management, Elite Wayfinding kiosk. Includes up to first 15 floors.</v>
      </c>
      <c r="F173" s="8" t="str">
        <f ca="1">IFERROR(__xludf.DUMMYFUNCTION("""COMPUTED_VALUE"""),"CAD")</f>
        <v>CAD</v>
      </c>
      <c r="G173" s="8">
        <f ca="1">IFERROR(__xludf.DUMMYFUNCTION("""COMPUTED_VALUE"""),121115)</f>
        <v>121115</v>
      </c>
      <c r="H173" s="10">
        <f ca="1">IFERROR(__xludf.DUMMYFUNCTION("""COMPUTED_VALUE"""),121115)</f>
        <v>121115</v>
      </c>
    </row>
    <row r="174" spans="1:8">
      <c r="A174" s="8" t="str">
        <f ca="1">IFERROR(__xludf.DUMMYFUNCTION("""COMPUTED_VALUE"""),"AS-SVC-WPM-QST-PREMIUM")</f>
        <v>AS-SVC-WPM-QST-PREMIUM</v>
      </c>
      <c r="B174" s="8" t="str">
        <f ca="1">IFERROR(__xludf.DUMMYFUNCTION("""COMPUTED_VALUE"""),"AS-SVC-WPM-QST-PREMIUM")</f>
        <v>AS-SVC-WPM-QST-PREMIUM</v>
      </c>
      <c r="C174" s="9" t="str">
        <f ca="1">IFERROR(__xludf.DUMMYFUNCTION("""COMPUTED_VALUE"""),"Workplace Management Quick Start Premium")</f>
        <v>Workplace Management Quick Start Premium</v>
      </c>
      <c r="D174" s="8" t="str">
        <f ca="1">IFERROR(__xludf.DUMMYFUNCTION("""COMPUTED_VALUE"""),"One-Time")</f>
        <v>One-Time</v>
      </c>
      <c r="E174" s="9" t="str">
        <f ca="1">IFERROR(__xludf.DUMMYFUNCTION("""COMPUTED_VALUE"""),"Workplace Management Quick Start Premium - Single-location implementation. Customized implementation plan, Premium Quick Start for Space Reservation, Room Booking, Visitor Management, Elite Wayfinding Kiosk. Includes up to first 10 floors.")</f>
        <v>Workplace Management Quick Start Premium - Single-location implementation. Customized implementation plan, Premium Quick Start for Space Reservation, Room Booking, Visitor Management, Elite Wayfinding Kiosk. Includes up to first 10 floors.</v>
      </c>
      <c r="F174" s="8" t="str">
        <f ca="1">IFERROR(__xludf.DUMMYFUNCTION("""COMPUTED_VALUE"""),"CAD")</f>
        <v>CAD</v>
      </c>
      <c r="G174" s="8">
        <f ca="1">IFERROR(__xludf.DUMMYFUNCTION("""COMPUTED_VALUE"""),75697)</f>
        <v>75697</v>
      </c>
      <c r="H174" s="10">
        <f ca="1">IFERROR(__xludf.DUMMYFUNCTION("""COMPUTED_VALUE"""),75697)</f>
        <v>75697</v>
      </c>
    </row>
    <row r="175" spans="1:8">
      <c r="A175" s="8" t="str">
        <f ca="1">IFERROR(__xludf.DUMMYFUNCTION("""COMPUTED_VALUE"""),"AS-SVC-WXP-ADVISORY")</f>
        <v>AS-SVC-WXP-ADVISORY</v>
      </c>
      <c r="B175" s="8" t="str">
        <f ca="1">IFERROR(__xludf.DUMMYFUNCTION("""COMPUTED_VALUE"""),"Annual Plan AS-SVC-WXP-ADVISORY")</f>
        <v>Annual Plan AS-SVC-WXP-ADVISORY</v>
      </c>
      <c r="C175" s="9" t="str">
        <f ca="1">IFERROR(__xludf.DUMMYFUNCTION("""COMPUTED_VALUE"""),"Workplace Experience Advisory")</f>
        <v>Workplace Experience Advisory</v>
      </c>
      <c r="D175" s="8" t="str">
        <f ca="1">IFERROR(__xludf.DUMMYFUNCTION("""COMPUTED_VALUE"""),"Recurring")</f>
        <v>Recurring</v>
      </c>
      <c r="E175" s="9" t="str">
        <f ca="1">IFERROR(__xludf.DUMMYFUNCTION("""COMPUTED_VALUE"""),"Workplace Experience Advisory - Comprehensive strategy for your digital &amp; physical workplaces. Ongoing strategic insights into platform usage, industry trends and product development.")</f>
        <v>Workplace Experience Advisory - Comprehensive strategy for your digital &amp; physical workplaces. Ongoing strategic insights into platform usage, industry trends and product development.</v>
      </c>
      <c r="F175" s="8" t="str">
        <f ca="1">IFERROR(__xludf.DUMMYFUNCTION("""COMPUTED_VALUE"""),"CAD")</f>
        <v>CAD</v>
      </c>
      <c r="G175" s="8">
        <f ca="1">IFERROR(__xludf.DUMMYFUNCTION("""COMPUTED_VALUE"""),6056)</f>
        <v>6056</v>
      </c>
      <c r="H175" s="10">
        <f ca="1">IFERROR(__xludf.DUMMYFUNCTION("""COMPUTED_VALUE"""),72672)</f>
        <v>72672</v>
      </c>
    </row>
    <row r="176" spans="1:8">
      <c r="A176" s="8" t="str">
        <f ca="1">IFERROR(__xludf.DUMMYFUNCTION("""COMPUTED_VALUE"""),"AS-USR-SUPPORT-CL")</f>
        <v>AS-USR-SUPPORT-CL</v>
      </c>
      <c r="B176" s="8" t="str">
        <f ca="1">IFERROR(__xludf.DUMMYFUNCTION("""COMPUTED_VALUE"""),"Custom Plan AS-USR-SUPPORT-CL")</f>
        <v>Custom Plan AS-USR-SUPPORT-CL</v>
      </c>
      <c r="C176" s="9" t="str">
        <f ca="1">IFERROR(__xludf.DUMMYFUNCTION("""COMPUTED_VALUE"""),"Support User License")</f>
        <v>Support User License</v>
      </c>
      <c r="D176" s="8" t="str">
        <f ca="1">IFERROR(__xludf.DUMMYFUNCTION("""COMPUTED_VALUE"""),"Recurring")</f>
        <v>Recurring</v>
      </c>
      <c r="E17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6" s="8" t="str">
        <f ca="1">IFERROR(__xludf.DUMMYFUNCTION("""COMPUTED_VALUE"""),"CAD")</f>
        <v>CAD</v>
      </c>
      <c r="G176" s="8">
        <f ca="1">IFERROR(__xludf.DUMMYFUNCTION("""COMPUTED_VALUE"""),37.85)</f>
        <v>37.85</v>
      </c>
      <c r="H176" s="8">
        <f ca="1">IFERROR(__xludf.DUMMYFUNCTION("""COMPUTED_VALUE"""),454.2)</f>
        <v>454.2</v>
      </c>
    </row>
    <row r="177" spans="1:8">
      <c r="A177" s="8" t="str">
        <f ca="1">IFERROR(__xludf.DUMMYFUNCTION("""COMPUTED_VALUE"""),"AS-USR-SUPPORT-CL")</f>
        <v>AS-USR-SUPPORT-CL</v>
      </c>
      <c r="B177" s="8" t="str">
        <f ca="1">IFERROR(__xludf.DUMMYFUNCTION("""COMPUTED_VALUE"""),"Monthly AS-USR-SUPPORT-CL")</f>
        <v>Monthly AS-USR-SUPPORT-CL</v>
      </c>
      <c r="C177" s="9" t="str">
        <f ca="1">IFERROR(__xludf.DUMMYFUNCTION("""COMPUTED_VALUE"""),"Support User License")</f>
        <v>Support User License</v>
      </c>
      <c r="D177" s="8" t="str">
        <f ca="1">IFERROR(__xludf.DUMMYFUNCTION("""COMPUTED_VALUE"""),"Recurring")</f>
        <v>Recurring</v>
      </c>
      <c r="E17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7" s="8" t="str">
        <f ca="1">IFERROR(__xludf.DUMMYFUNCTION("""COMPUTED_VALUE"""),"CAD")</f>
        <v>CAD</v>
      </c>
      <c r="G177" s="8">
        <f ca="1">IFERROR(__xludf.DUMMYFUNCTION("""COMPUTED_VALUE"""),45.42)</f>
        <v>45.42</v>
      </c>
      <c r="H177" s="8">
        <f ca="1">IFERROR(__xludf.DUMMYFUNCTION("""COMPUTED_VALUE"""),545.04)</f>
        <v>545.04</v>
      </c>
    </row>
    <row r="178" spans="1:8">
      <c r="A178" s="8" t="str">
        <f ca="1">IFERROR(__xludf.DUMMYFUNCTION("""COMPUTED_VALUE"""),"AS-USR-SUPPORT-CL")</f>
        <v>AS-USR-SUPPORT-CL</v>
      </c>
      <c r="B178" s="8" t="str">
        <f ca="1">IFERROR(__xludf.DUMMYFUNCTION("""COMPUTED_VALUE"""),"Annual Plan AS-USR-SUPPORT-CL")</f>
        <v>Annual Plan AS-USR-SUPPORT-CL</v>
      </c>
      <c r="C178" s="9" t="str">
        <f ca="1">IFERROR(__xludf.DUMMYFUNCTION("""COMPUTED_VALUE"""),"Support User License")</f>
        <v>Support User License</v>
      </c>
      <c r="D178" s="8" t="str">
        <f ca="1">IFERROR(__xludf.DUMMYFUNCTION("""COMPUTED_VALUE"""),"Recurring")</f>
        <v>Recurring</v>
      </c>
      <c r="E178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8" s="8" t="str">
        <f ca="1">IFERROR(__xludf.DUMMYFUNCTION("""COMPUTED_VALUE"""),"CAD")</f>
        <v>CAD</v>
      </c>
      <c r="G178" s="8">
        <f ca="1">IFERROR(__xludf.DUMMYFUNCTION("""COMPUTED_VALUE"""),37.85)</f>
        <v>37.85</v>
      </c>
      <c r="H178" s="8">
        <f ca="1">IFERROR(__xludf.DUMMYFUNCTION("""COMPUTED_VALUE"""),454.2)</f>
        <v>454.2</v>
      </c>
    </row>
    <row r="179" spans="1:8">
      <c r="A179" s="8" t="str">
        <f ca="1">IFERROR(__xludf.DUMMYFUNCTION("""COMPUTED_VALUE"""),"AS-USR-SUPPORT-CL")</f>
        <v>AS-USR-SUPPORT-CL</v>
      </c>
      <c r="B179" s="8" t="str">
        <f ca="1">IFERROR(__xludf.DUMMYFUNCTION("""COMPUTED_VALUE"""),"Prepaid Plan AS-USR-SUPPORT-CL")</f>
        <v>Prepaid Plan AS-USR-SUPPORT-CL</v>
      </c>
      <c r="C179" s="9" t="str">
        <f ca="1">IFERROR(__xludf.DUMMYFUNCTION("""COMPUTED_VALUE"""),"Support User License")</f>
        <v>Support User License</v>
      </c>
      <c r="D179" s="8" t="str">
        <f ca="1">IFERROR(__xludf.DUMMYFUNCTION("""COMPUTED_VALUE"""),"Recurring")</f>
        <v>Recurring</v>
      </c>
      <c r="E179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9" s="8" t="str">
        <f ca="1">IFERROR(__xludf.DUMMYFUNCTION("""COMPUTED_VALUE"""),"CAD")</f>
        <v>CAD</v>
      </c>
      <c r="G179" s="8">
        <f ca="1">IFERROR(__xludf.DUMMYFUNCTION("""COMPUTED_VALUE"""),37.85)</f>
        <v>37.85</v>
      </c>
      <c r="H179" s="10">
        <f ca="1">IFERROR(__xludf.DUMMYFUNCTION("""COMPUTED_VALUE"""),454.2)</f>
        <v>454.2</v>
      </c>
    </row>
    <row r="180" spans="1:8">
      <c r="A180" s="8" t="str">
        <f ca="1">IFERROR(__xludf.DUMMYFUNCTION("""COMPUTED_VALUE"""),"AS-USR-SUPPORT-OP")</f>
        <v>AS-USR-SUPPORT-OP</v>
      </c>
      <c r="B180" s="8" t="str">
        <f ca="1">IFERROR(__xludf.DUMMYFUNCTION("""COMPUTED_VALUE"""),"Monthly AS-USR-SUPPORT-OP")</f>
        <v>Monthly AS-USR-SUPPORT-OP</v>
      </c>
      <c r="C180" s="9" t="str">
        <f ca="1">IFERROR(__xludf.DUMMYFUNCTION("""COMPUTED_VALUE"""),"Support User License")</f>
        <v>Support User License</v>
      </c>
      <c r="D180" s="8" t="str">
        <f ca="1">IFERROR(__xludf.DUMMYFUNCTION("""COMPUTED_VALUE"""),"Recurring")</f>
        <v>Recurring</v>
      </c>
      <c r="E180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0" s="8" t="str">
        <f ca="1">IFERROR(__xludf.DUMMYFUNCTION("""COMPUTED_VALUE"""),"CAD")</f>
        <v>CAD</v>
      </c>
      <c r="G180" s="8">
        <f ca="1">IFERROR(__xludf.DUMMYFUNCTION("""COMPUTED_VALUE"""),90.84)</f>
        <v>90.84</v>
      </c>
      <c r="H180" s="10">
        <f ca="1">IFERROR(__xludf.DUMMYFUNCTION("""COMPUTED_VALUE"""),1090.08)</f>
        <v>1090.08</v>
      </c>
    </row>
    <row r="181" spans="1:8">
      <c r="A181" s="8" t="str">
        <f ca="1">IFERROR(__xludf.DUMMYFUNCTION("""COMPUTED_VALUE"""),"AS-USR-SUPPORT-OP")</f>
        <v>AS-USR-SUPPORT-OP</v>
      </c>
      <c r="B181" s="8" t="str">
        <f ca="1">IFERROR(__xludf.DUMMYFUNCTION("""COMPUTED_VALUE"""),"Prepaid Plan AS-USR-SUPPORT-OP")</f>
        <v>Prepaid Plan AS-USR-SUPPORT-OP</v>
      </c>
      <c r="C181" s="9" t="str">
        <f ca="1">IFERROR(__xludf.DUMMYFUNCTION("""COMPUTED_VALUE"""),"Support User License")</f>
        <v>Support User License</v>
      </c>
      <c r="D181" s="8" t="str">
        <f ca="1">IFERROR(__xludf.DUMMYFUNCTION("""COMPUTED_VALUE"""),"Recurring")</f>
        <v>Recurring</v>
      </c>
      <c r="E181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1" s="8" t="str">
        <f ca="1">IFERROR(__xludf.DUMMYFUNCTION("""COMPUTED_VALUE"""),"CAD")</f>
        <v>CAD</v>
      </c>
      <c r="G181" s="8">
        <f ca="1">IFERROR(__xludf.DUMMYFUNCTION("""COMPUTED_VALUE"""),75.7)</f>
        <v>75.7</v>
      </c>
      <c r="H181" s="8">
        <f ca="1">IFERROR(__xludf.DUMMYFUNCTION("""COMPUTED_VALUE"""),908.4)</f>
        <v>908.4</v>
      </c>
    </row>
    <row r="182" spans="1:8">
      <c r="A182" s="8" t="str">
        <f ca="1">IFERROR(__xludf.DUMMYFUNCTION("""COMPUTED_VALUE"""),"AS-USR-SUPPORT-OP")</f>
        <v>AS-USR-SUPPORT-OP</v>
      </c>
      <c r="B182" s="8" t="str">
        <f ca="1">IFERROR(__xludf.DUMMYFUNCTION("""COMPUTED_VALUE"""),"Custom Plan AS-USR-SUPPORT-OP")</f>
        <v>Custom Plan AS-USR-SUPPORT-OP</v>
      </c>
      <c r="C182" s="9" t="str">
        <f ca="1">IFERROR(__xludf.DUMMYFUNCTION("""COMPUTED_VALUE"""),"Support User License")</f>
        <v>Support User License</v>
      </c>
      <c r="D182" s="8" t="str">
        <f ca="1">IFERROR(__xludf.DUMMYFUNCTION("""COMPUTED_VALUE"""),"Recurring")</f>
        <v>Recurring</v>
      </c>
      <c r="E182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2" s="8" t="str">
        <f ca="1">IFERROR(__xludf.DUMMYFUNCTION("""COMPUTED_VALUE"""),"CAD")</f>
        <v>CAD</v>
      </c>
      <c r="G182" s="8">
        <f ca="1">IFERROR(__xludf.DUMMYFUNCTION("""COMPUTED_VALUE"""),75.7)</f>
        <v>75.7</v>
      </c>
      <c r="H182" s="8">
        <f ca="1">IFERROR(__xludf.DUMMYFUNCTION("""COMPUTED_VALUE"""),908.4)</f>
        <v>908.4</v>
      </c>
    </row>
    <row r="183" spans="1:8">
      <c r="A183" s="8" t="str">
        <f ca="1">IFERROR(__xludf.DUMMYFUNCTION("""COMPUTED_VALUE"""),"AS-USR-SUPPORT-OP")</f>
        <v>AS-USR-SUPPORT-OP</v>
      </c>
      <c r="B183" s="8" t="str">
        <f ca="1">IFERROR(__xludf.DUMMYFUNCTION("""COMPUTED_VALUE"""),"Annual Plan AS-USR-SUPPORT-OP")</f>
        <v>Annual Plan AS-USR-SUPPORT-OP</v>
      </c>
      <c r="C183" s="9" t="str">
        <f ca="1">IFERROR(__xludf.DUMMYFUNCTION("""COMPUTED_VALUE"""),"Support User License")</f>
        <v>Support User License</v>
      </c>
      <c r="D183" s="8" t="str">
        <f ca="1">IFERROR(__xludf.DUMMYFUNCTION("""COMPUTED_VALUE"""),"Recurring")</f>
        <v>Recurring</v>
      </c>
      <c r="E183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3" s="8" t="str">
        <f ca="1">IFERROR(__xludf.DUMMYFUNCTION("""COMPUTED_VALUE"""),"CAD")</f>
        <v>CAD</v>
      </c>
      <c r="G183" s="8">
        <f ca="1">IFERROR(__xludf.DUMMYFUNCTION("""COMPUTED_VALUE"""),75.7)</f>
        <v>75.7</v>
      </c>
      <c r="H183" s="8">
        <f ca="1">IFERROR(__xludf.DUMMYFUNCTION("""COMPUTED_VALUE"""),908.4)</f>
        <v>908.4</v>
      </c>
    </row>
    <row r="184" spans="1:8">
      <c r="A184" s="8" t="str">
        <f ca="1">IFERROR(__xludf.DUMMYFUNCTION("""COMPUTED_VALUE"""),"AS-USR-SUPPORT-PV")</f>
        <v>AS-USR-SUPPORT-PV</v>
      </c>
      <c r="B184" s="8" t="str">
        <f ca="1">IFERROR(__xludf.DUMMYFUNCTION("""COMPUTED_VALUE"""),"Monthly AS-USR-SUPPORT-PV")</f>
        <v>Monthly AS-USR-SUPPORT-PV</v>
      </c>
      <c r="C184" s="9" t="str">
        <f ca="1">IFERROR(__xludf.DUMMYFUNCTION("""COMPUTED_VALUE"""),"Support User License")</f>
        <v>Support User License</v>
      </c>
      <c r="D184" s="8" t="str">
        <f ca="1">IFERROR(__xludf.DUMMYFUNCTION("""COMPUTED_VALUE"""),"Recurring")</f>
        <v>Recurring</v>
      </c>
      <c r="E184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4" s="8" t="str">
        <f ca="1">IFERROR(__xludf.DUMMYFUNCTION("""COMPUTED_VALUE"""),"CAD")</f>
        <v>CAD</v>
      </c>
      <c r="G184" s="8">
        <f ca="1">IFERROR(__xludf.DUMMYFUNCTION("""COMPUTED_VALUE"""),45.42)</f>
        <v>45.42</v>
      </c>
      <c r="H184" s="8">
        <f ca="1">IFERROR(__xludf.DUMMYFUNCTION("""COMPUTED_VALUE"""),545.04)</f>
        <v>545.04</v>
      </c>
    </row>
    <row r="185" spans="1:8">
      <c r="A185" s="8" t="str">
        <f ca="1">IFERROR(__xludf.DUMMYFUNCTION("""COMPUTED_VALUE"""),"AS-USR-SUPPORT-PV")</f>
        <v>AS-USR-SUPPORT-PV</v>
      </c>
      <c r="B185" s="8" t="str">
        <f ca="1">IFERROR(__xludf.DUMMYFUNCTION("""COMPUTED_VALUE"""),"Prepaid Plan AS-USR-SUPPORT-PV")</f>
        <v>Prepaid Plan AS-USR-SUPPORT-PV</v>
      </c>
      <c r="C185" s="9" t="str">
        <f ca="1">IFERROR(__xludf.DUMMYFUNCTION("""COMPUTED_VALUE"""),"Support User License")</f>
        <v>Support User License</v>
      </c>
      <c r="D185" s="8" t="str">
        <f ca="1">IFERROR(__xludf.DUMMYFUNCTION("""COMPUTED_VALUE"""),"Recurring")</f>
        <v>Recurring</v>
      </c>
      <c r="E185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5" s="8" t="str">
        <f ca="1">IFERROR(__xludf.DUMMYFUNCTION("""COMPUTED_VALUE"""),"CAD")</f>
        <v>CAD</v>
      </c>
      <c r="G185" s="8">
        <f ca="1">IFERROR(__xludf.DUMMYFUNCTION("""COMPUTED_VALUE"""),37.85)</f>
        <v>37.85</v>
      </c>
      <c r="H185" s="8">
        <f ca="1">IFERROR(__xludf.DUMMYFUNCTION("""COMPUTED_VALUE"""),454.2)</f>
        <v>454.2</v>
      </c>
    </row>
    <row r="186" spans="1:8">
      <c r="A186" s="8" t="str">
        <f ca="1">IFERROR(__xludf.DUMMYFUNCTION("""COMPUTED_VALUE"""),"AS-USR-SUPPORT-PV")</f>
        <v>AS-USR-SUPPORT-PV</v>
      </c>
      <c r="B186" s="8" t="str">
        <f ca="1">IFERROR(__xludf.DUMMYFUNCTION("""COMPUTED_VALUE"""),"Custom Plan AS-USR-SUPPORT-PV")</f>
        <v>Custom Plan AS-USR-SUPPORT-PV</v>
      </c>
      <c r="C186" s="9" t="str">
        <f ca="1">IFERROR(__xludf.DUMMYFUNCTION("""COMPUTED_VALUE"""),"Support User License")</f>
        <v>Support User License</v>
      </c>
      <c r="D186" s="8" t="str">
        <f ca="1">IFERROR(__xludf.DUMMYFUNCTION("""COMPUTED_VALUE"""),"Recurring")</f>
        <v>Recurring</v>
      </c>
      <c r="E18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6" s="8" t="str">
        <f ca="1">IFERROR(__xludf.DUMMYFUNCTION("""COMPUTED_VALUE"""),"CAD")</f>
        <v>CAD</v>
      </c>
      <c r="G186" s="8">
        <f ca="1">IFERROR(__xludf.DUMMYFUNCTION("""COMPUTED_VALUE"""),37.85)</f>
        <v>37.85</v>
      </c>
      <c r="H186" s="8">
        <f ca="1">IFERROR(__xludf.DUMMYFUNCTION("""COMPUTED_VALUE"""),454.2)</f>
        <v>454.2</v>
      </c>
    </row>
    <row r="187" spans="1:8">
      <c r="A187" s="8" t="str">
        <f ca="1">IFERROR(__xludf.DUMMYFUNCTION("""COMPUTED_VALUE"""),"AS-USR-SUPPORT-PV")</f>
        <v>AS-USR-SUPPORT-PV</v>
      </c>
      <c r="B187" s="8" t="str">
        <f ca="1">IFERROR(__xludf.DUMMYFUNCTION("""COMPUTED_VALUE"""),"Annual Plan AS-USR-SUPPORT-PV")</f>
        <v>Annual Plan AS-USR-SUPPORT-PV</v>
      </c>
      <c r="C187" s="9" t="str">
        <f ca="1">IFERROR(__xludf.DUMMYFUNCTION("""COMPUTED_VALUE"""),"Support User License")</f>
        <v>Support User License</v>
      </c>
      <c r="D187" s="8" t="str">
        <f ca="1">IFERROR(__xludf.DUMMYFUNCTION("""COMPUTED_VALUE"""),"Recurring")</f>
        <v>Recurring</v>
      </c>
      <c r="E18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7" s="8" t="str">
        <f ca="1">IFERROR(__xludf.DUMMYFUNCTION("""COMPUTED_VALUE"""),"CAD")</f>
        <v>CAD</v>
      </c>
      <c r="G187" s="8">
        <f ca="1">IFERROR(__xludf.DUMMYFUNCTION("""COMPUTED_VALUE"""),37.85)</f>
        <v>37.85</v>
      </c>
      <c r="H187" s="10">
        <f ca="1">IFERROR(__xludf.DUMMYFUNCTION("""COMPUTED_VALUE"""),454.2)</f>
        <v>454.2</v>
      </c>
    </row>
    <row r="188" spans="1:8">
      <c r="A188" s="8" t="str">
        <f ca="1">IFERROR(__xludf.DUMMYFUNCTION("""COMPUTED_VALUE"""),"BZ-SVC-MCS")</f>
        <v>BZ-SVC-MCS</v>
      </c>
      <c r="B188" s="8" t="str">
        <f ca="1">IFERROR(__xludf.DUMMYFUNCTION("""COMPUTED_VALUE"""),"Annual Plan BZ-SVC-MCS")</f>
        <v>Annual Plan BZ-SVC-MCS</v>
      </c>
      <c r="C188" s="9" t="str">
        <f ca="1">IFERROR(__xludf.DUMMYFUNCTION("""COMPUTED_VALUE"""),"Managed Custom Solutions")</f>
        <v>Managed Custom Solutions</v>
      </c>
      <c r="D188" s="8" t="str">
        <f ca="1">IFERROR(__xludf.DUMMYFUNCTION("""COMPUTED_VALUE"""),"Recurring")</f>
        <v>Recurring</v>
      </c>
      <c r="E188" s="9" t="str">
        <f ca="1">IFERROR(__xludf.DUMMYFUNCTION("""COMPUTED_VALUE"""),"Enhanced Services Managed Custom Solutions")</f>
        <v>Enhanced Services Managed Custom Solutions</v>
      </c>
      <c r="F188" s="8" t="str">
        <f ca="1">IFERROR(__xludf.DUMMYFUNCTION("""COMPUTED_VALUE"""),"CAD")</f>
        <v>CAD</v>
      </c>
      <c r="G188" s="8">
        <f ca="1">IFERROR(__xludf.DUMMYFUNCTION("""COMPUTED_VALUE"""),1514)</f>
        <v>1514</v>
      </c>
      <c r="H188" s="10">
        <f ca="1">IFERROR(__xludf.DUMMYFUNCTION("""COMPUTED_VALUE"""),18168)</f>
        <v>18168</v>
      </c>
    </row>
    <row r="189" spans="1:8">
      <c r="C189" s="9"/>
      <c r="E189" s="9"/>
    </row>
    <row r="190" spans="1:8">
      <c r="C190" s="9"/>
      <c r="E190" s="9"/>
    </row>
    <row r="191" spans="1:8">
      <c r="C191" s="9"/>
      <c r="E191" s="9"/>
    </row>
    <row r="192" spans="1:8">
      <c r="C192" s="9"/>
      <c r="E192" s="9"/>
    </row>
    <row r="193" spans="3:5">
      <c r="C193" s="9"/>
      <c r="E193" s="9"/>
    </row>
    <row r="194" spans="3:5">
      <c r="C194" s="9"/>
      <c r="E194" s="9"/>
    </row>
    <row r="195" spans="3:5">
      <c r="C195" s="9"/>
      <c r="E195" s="9"/>
    </row>
    <row r="196" spans="3:5">
      <c r="C196" s="9"/>
      <c r="E196" s="9"/>
    </row>
    <row r="197" spans="3:5">
      <c r="C197" s="9"/>
      <c r="E197" s="9"/>
    </row>
    <row r="198" spans="3:5">
      <c r="C198" s="9"/>
      <c r="E198" s="9"/>
    </row>
    <row r="199" spans="3:5">
      <c r="C199" s="9"/>
      <c r="E199" s="9"/>
    </row>
    <row r="200" spans="3:5">
      <c r="C200" s="9"/>
      <c r="E200" s="9"/>
    </row>
    <row r="201" spans="3:5">
      <c r="C201" s="9"/>
      <c r="E201" s="9"/>
    </row>
    <row r="202" spans="3:5">
      <c r="C202" s="9"/>
      <c r="E202" s="9"/>
    </row>
    <row r="203" spans="3:5">
      <c r="C203" s="9"/>
      <c r="E203" s="9"/>
    </row>
    <row r="204" spans="3:5">
      <c r="C204" s="9"/>
      <c r="E204" s="9"/>
    </row>
    <row r="205" spans="3:5">
      <c r="C205" s="9"/>
      <c r="E205" s="9"/>
    </row>
    <row r="206" spans="3:5">
      <c r="C206" s="9"/>
      <c r="E206" s="9"/>
    </row>
    <row r="207" spans="3:5">
      <c r="C207" s="9"/>
      <c r="E207" s="9"/>
    </row>
    <row r="208" spans="3:5">
      <c r="C208" s="9"/>
      <c r="E208" s="9"/>
    </row>
    <row r="209" spans="3:5">
      <c r="C209" s="9"/>
      <c r="E209" s="9"/>
    </row>
    <row r="210" spans="3:5">
      <c r="C210" s="9"/>
      <c r="E210" s="9"/>
    </row>
    <row r="211" spans="3:5">
      <c r="C211" s="9"/>
      <c r="E211" s="9"/>
    </row>
    <row r="212" spans="3:5">
      <c r="C212" s="9"/>
      <c r="E212" s="9"/>
    </row>
    <row r="213" spans="3:5">
      <c r="C213" s="9"/>
      <c r="E213" s="9"/>
    </row>
    <row r="214" spans="3:5">
      <c r="C214" s="9"/>
      <c r="E214" s="9"/>
    </row>
    <row r="215" spans="3:5">
      <c r="C215" s="9"/>
      <c r="E215" s="9"/>
    </row>
    <row r="216" spans="3:5">
      <c r="C216" s="9"/>
      <c r="E216" s="9"/>
    </row>
    <row r="217" spans="3:5">
      <c r="C217" s="9"/>
      <c r="E217" s="9"/>
    </row>
    <row r="218" spans="3:5">
      <c r="C218" s="9"/>
      <c r="E218" s="9"/>
    </row>
    <row r="219" spans="3:5">
      <c r="C219" s="9"/>
      <c r="E219" s="9"/>
    </row>
    <row r="220" spans="3:5">
      <c r="C220" s="9"/>
      <c r="E220" s="9"/>
    </row>
    <row r="221" spans="3:5">
      <c r="C221" s="9"/>
      <c r="E221" s="9"/>
    </row>
    <row r="222" spans="3:5">
      <c r="C222" s="9"/>
      <c r="E222" s="9"/>
    </row>
    <row r="223" spans="3:5">
      <c r="C223" s="9"/>
      <c r="E223" s="9"/>
    </row>
    <row r="224" spans="3:5">
      <c r="C224" s="9"/>
      <c r="E224" s="9"/>
    </row>
    <row r="225" spans="3:5">
      <c r="C225" s="9"/>
      <c r="E225" s="9"/>
    </row>
    <row r="226" spans="3:5">
      <c r="C226" s="9"/>
      <c r="E226" s="9"/>
    </row>
    <row r="227" spans="3:5">
      <c r="C227" s="9"/>
      <c r="E227" s="9"/>
    </row>
    <row r="228" spans="3:5">
      <c r="C228" s="9"/>
      <c r="E228" s="9"/>
    </row>
    <row r="229" spans="3:5">
      <c r="C229" s="9"/>
      <c r="E229" s="9"/>
    </row>
    <row r="230" spans="3:5">
      <c r="C230" s="9"/>
      <c r="E230" s="9"/>
    </row>
    <row r="231" spans="3:5">
      <c r="C231" s="9"/>
      <c r="E231" s="9"/>
    </row>
    <row r="232" spans="3:5">
      <c r="C232" s="9"/>
      <c r="E232" s="9"/>
    </row>
    <row r="233" spans="3:5">
      <c r="C233" s="9"/>
      <c r="E233" s="9"/>
    </row>
    <row r="234" spans="3:5">
      <c r="C234" s="9"/>
      <c r="E234" s="9"/>
    </row>
    <row r="235" spans="3:5">
      <c r="C235" s="9"/>
      <c r="E235" s="9"/>
    </row>
    <row r="236" spans="3:5">
      <c r="C236" s="9"/>
      <c r="E236" s="9"/>
    </row>
    <row r="237" spans="3:5">
      <c r="C237" s="9"/>
      <c r="E237" s="9"/>
    </row>
    <row r="238" spans="3:5">
      <c r="C238" s="9"/>
      <c r="E238" s="9"/>
    </row>
    <row r="239" spans="3:5">
      <c r="C239" s="9"/>
      <c r="E239" s="9"/>
    </row>
    <row r="240" spans="3:5">
      <c r="C240" s="9"/>
      <c r="E240" s="9"/>
    </row>
    <row r="241" spans="3:5">
      <c r="C241" s="9"/>
      <c r="E241" s="9"/>
    </row>
    <row r="242" spans="3:5">
      <c r="C242" s="9"/>
      <c r="E242" s="9"/>
    </row>
    <row r="243" spans="3:5">
      <c r="C243" s="9"/>
      <c r="E243" s="9"/>
    </row>
    <row r="244" spans="3:5">
      <c r="C244" s="9"/>
      <c r="E244" s="9"/>
    </row>
    <row r="245" spans="3:5">
      <c r="C245" s="9"/>
      <c r="E245" s="9"/>
    </row>
    <row r="246" spans="3:5">
      <c r="C246" s="9"/>
      <c r="E246" s="9"/>
    </row>
    <row r="247" spans="3:5">
      <c r="C247" s="9"/>
      <c r="E247" s="9"/>
    </row>
    <row r="248" spans="3:5">
      <c r="C248" s="9"/>
      <c r="E248" s="9"/>
    </row>
    <row r="249" spans="3:5">
      <c r="C249" s="9"/>
      <c r="E249" s="9"/>
    </row>
    <row r="250" spans="3:5">
      <c r="C250" s="9"/>
      <c r="E250" s="9"/>
    </row>
    <row r="251" spans="3:5">
      <c r="C251" s="9"/>
      <c r="E251" s="9"/>
    </row>
    <row r="252" spans="3:5">
      <c r="C252" s="9"/>
      <c r="E252" s="9"/>
    </row>
    <row r="253" spans="3:5">
      <c r="C253" s="9"/>
      <c r="E253" s="9"/>
    </row>
    <row r="254" spans="3:5">
      <c r="C254" s="9"/>
      <c r="E254" s="9"/>
    </row>
    <row r="255" spans="3:5">
      <c r="C255" s="9"/>
      <c r="E255" s="9"/>
    </row>
    <row r="256" spans="3:5">
      <c r="C256" s="9"/>
      <c r="E256" s="9"/>
    </row>
    <row r="257" spans="3:5">
      <c r="C257" s="9"/>
      <c r="E257" s="9"/>
    </row>
    <row r="258" spans="3:5">
      <c r="C258" s="9"/>
      <c r="E258" s="9"/>
    </row>
    <row r="259" spans="3:5">
      <c r="C259" s="9"/>
      <c r="E259" s="9"/>
    </row>
    <row r="260" spans="3:5">
      <c r="C260" s="9"/>
      <c r="E260" s="9"/>
    </row>
    <row r="261" spans="3:5">
      <c r="C261" s="9"/>
      <c r="E261" s="9"/>
    </row>
    <row r="262" spans="3:5">
      <c r="C262" s="9"/>
      <c r="E262" s="9"/>
    </row>
    <row r="263" spans="3:5">
      <c r="C263" s="9"/>
      <c r="E263" s="9"/>
    </row>
    <row r="264" spans="3:5">
      <c r="C264" s="9"/>
      <c r="E264" s="9"/>
    </row>
    <row r="265" spans="3:5">
      <c r="C265" s="9"/>
      <c r="E265" s="9"/>
    </row>
    <row r="266" spans="3:5">
      <c r="C266" s="9"/>
      <c r="E266" s="9"/>
    </row>
    <row r="267" spans="3:5">
      <c r="C267" s="9"/>
      <c r="E267" s="9"/>
    </row>
    <row r="268" spans="3:5">
      <c r="C268" s="9"/>
      <c r="E268" s="9"/>
    </row>
    <row r="269" spans="3:5">
      <c r="C269" s="9"/>
      <c r="E269" s="9"/>
    </row>
    <row r="270" spans="3:5">
      <c r="C270" s="9"/>
      <c r="E270" s="9"/>
    </row>
    <row r="271" spans="3:5">
      <c r="C271" s="9"/>
      <c r="E271" s="9"/>
    </row>
    <row r="272" spans="3:5">
      <c r="C272" s="9"/>
      <c r="E272" s="9"/>
    </row>
    <row r="273" spans="3:5">
      <c r="C273" s="9"/>
      <c r="E273" s="9"/>
    </row>
    <row r="274" spans="3:5">
      <c r="C274" s="9"/>
      <c r="E274" s="9"/>
    </row>
    <row r="275" spans="3:5">
      <c r="C275" s="9"/>
      <c r="E275" s="9"/>
    </row>
    <row r="276" spans="3:5">
      <c r="C276" s="9"/>
      <c r="E276" s="9"/>
    </row>
    <row r="277" spans="3:5">
      <c r="C277" s="9"/>
      <c r="E277" s="9"/>
    </row>
    <row r="278" spans="3:5">
      <c r="C278" s="9"/>
      <c r="E278" s="9"/>
    </row>
    <row r="279" spans="3:5">
      <c r="C279" s="9"/>
      <c r="E279" s="9"/>
    </row>
    <row r="280" spans="3:5">
      <c r="C280" s="9"/>
      <c r="E280" s="9"/>
    </row>
    <row r="281" spans="3:5">
      <c r="C281" s="9"/>
      <c r="E281" s="9"/>
    </row>
    <row r="282" spans="3:5">
      <c r="C282" s="9"/>
      <c r="E282" s="9"/>
    </row>
    <row r="283" spans="3:5">
      <c r="C283" s="9"/>
      <c r="E283" s="9"/>
    </row>
    <row r="284" spans="3:5">
      <c r="C284" s="9"/>
      <c r="E284" s="9"/>
    </row>
    <row r="285" spans="3:5">
      <c r="C285" s="9"/>
      <c r="E285" s="9"/>
    </row>
    <row r="286" spans="3:5">
      <c r="C286" s="9"/>
      <c r="E286" s="9"/>
    </row>
    <row r="287" spans="3:5">
      <c r="C287" s="9"/>
      <c r="E287" s="9"/>
    </row>
    <row r="288" spans="3:5">
      <c r="C288" s="9"/>
      <c r="E288" s="9"/>
    </row>
    <row r="289" spans="3:5">
      <c r="C289" s="9"/>
      <c r="E289" s="9"/>
    </row>
    <row r="290" spans="3:5">
      <c r="C290" s="9"/>
      <c r="E290" s="9"/>
    </row>
    <row r="291" spans="3:5">
      <c r="C291" s="9"/>
      <c r="E291" s="9"/>
    </row>
    <row r="292" spans="3:5">
      <c r="C292" s="9"/>
      <c r="E292" s="9"/>
    </row>
    <row r="293" spans="3:5">
      <c r="C293" s="9"/>
      <c r="E293" s="9"/>
    </row>
    <row r="294" spans="3:5">
      <c r="C294" s="9"/>
      <c r="E294" s="9"/>
    </row>
    <row r="295" spans="3:5">
      <c r="C295" s="9"/>
      <c r="E295" s="9"/>
    </row>
    <row r="296" spans="3:5">
      <c r="C296" s="9"/>
      <c r="E296" s="9"/>
    </row>
    <row r="297" spans="3:5">
      <c r="C297" s="9"/>
      <c r="E297" s="9"/>
    </row>
    <row r="298" spans="3:5">
      <c r="C298" s="9"/>
      <c r="E298" s="9"/>
    </row>
    <row r="299" spans="3:5">
      <c r="C299" s="9"/>
      <c r="E299" s="9"/>
    </row>
    <row r="300" spans="3:5">
      <c r="C300" s="9"/>
      <c r="E300" s="9"/>
    </row>
    <row r="301" spans="3:5">
      <c r="C301" s="9"/>
      <c r="E301" s="9"/>
    </row>
    <row r="302" spans="3:5">
      <c r="C302" s="9"/>
      <c r="E302" s="9"/>
    </row>
    <row r="303" spans="3:5">
      <c r="C303" s="9"/>
      <c r="E303" s="9"/>
    </row>
    <row r="304" spans="3:5">
      <c r="C304" s="9"/>
      <c r="E304" s="9"/>
    </row>
    <row r="305" spans="3:5">
      <c r="C305" s="9"/>
      <c r="E305" s="9"/>
    </row>
    <row r="306" spans="3:5">
      <c r="C306" s="9"/>
      <c r="E306" s="9"/>
    </row>
    <row r="307" spans="3:5">
      <c r="C307" s="9"/>
      <c r="E307" s="9"/>
    </row>
    <row r="308" spans="3:5">
      <c r="C308" s="9"/>
      <c r="E308" s="9"/>
    </row>
    <row r="309" spans="3:5">
      <c r="C309" s="9"/>
      <c r="E309" s="9"/>
    </row>
    <row r="310" spans="3:5">
      <c r="C310" s="9"/>
      <c r="E310" s="9"/>
    </row>
    <row r="311" spans="3:5">
      <c r="C311" s="9"/>
      <c r="E311" s="9"/>
    </row>
    <row r="312" spans="3:5">
      <c r="C312" s="9"/>
      <c r="E312" s="9"/>
    </row>
    <row r="313" spans="3:5">
      <c r="C313" s="9"/>
      <c r="E313" s="9"/>
    </row>
    <row r="314" spans="3:5">
      <c r="C314" s="9"/>
      <c r="E314" s="9"/>
    </row>
    <row r="315" spans="3:5">
      <c r="C315" s="9"/>
      <c r="E315" s="9"/>
    </row>
    <row r="316" spans="3:5">
      <c r="C316" s="9"/>
      <c r="E316" s="9"/>
    </row>
    <row r="317" spans="3:5">
      <c r="C317" s="9"/>
      <c r="E317" s="9"/>
    </row>
    <row r="318" spans="3:5">
      <c r="C318" s="9"/>
      <c r="E318" s="9"/>
    </row>
    <row r="319" spans="3:5">
      <c r="C319" s="9"/>
      <c r="E319" s="9"/>
    </row>
    <row r="320" spans="3:5">
      <c r="C320" s="9"/>
      <c r="E320" s="9"/>
    </row>
    <row r="321" spans="3:5">
      <c r="C321" s="9"/>
      <c r="E321" s="9"/>
    </row>
    <row r="322" spans="3:5">
      <c r="C322" s="9"/>
      <c r="E322" s="9"/>
    </row>
    <row r="323" spans="3:5">
      <c r="C323" s="9"/>
      <c r="E323" s="9"/>
    </row>
    <row r="324" spans="3:5">
      <c r="C324" s="9"/>
      <c r="E324" s="9"/>
    </row>
    <row r="325" spans="3:5">
      <c r="C325" s="9"/>
      <c r="E325" s="9"/>
    </row>
    <row r="326" spans="3:5">
      <c r="C326" s="9"/>
      <c r="E326" s="9"/>
    </row>
    <row r="327" spans="3:5">
      <c r="C327" s="9"/>
      <c r="E327" s="9"/>
    </row>
    <row r="328" spans="3:5">
      <c r="C328" s="9"/>
      <c r="E328" s="9"/>
    </row>
    <row r="329" spans="3:5">
      <c r="C329" s="9"/>
      <c r="E329" s="9"/>
    </row>
    <row r="330" spans="3:5">
      <c r="C330" s="9"/>
      <c r="E330" s="9"/>
    </row>
    <row r="331" spans="3:5">
      <c r="C331" s="9"/>
      <c r="E331" s="9"/>
    </row>
    <row r="332" spans="3:5">
      <c r="C332" s="9"/>
      <c r="E332" s="9"/>
    </row>
    <row r="333" spans="3:5">
      <c r="C333" s="9"/>
      <c r="E333" s="9"/>
    </row>
    <row r="334" spans="3:5">
      <c r="C334" s="9"/>
      <c r="E334" s="9"/>
    </row>
    <row r="335" spans="3:5">
      <c r="C335" s="9"/>
      <c r="E335" s="9"/>
    </row>
    <row r="336" spans="3:5">
      <c r="C336" s="9"/>
      <c r="E336" s="9"/>
    </row>
    <row r="337" spans="3:5">
      <c r="C337" s="9"/>
      <c r="E337" s="9"/>
    </row>
    <row r="338" spans="3:5">
      <c r="C338" s="9"/>
      <c r="E338" s="9"/>
    </row>
    <row r="339" spans="3:5">
      <c r="C339" s="9"/>
      <c r="E339" s="9"/>
    </row>
    <row r="340" spans="3:5">
      <c r="C340" s="9"/>
      <c r="E340" s="9"/>
    </row>
    <row r="341" spans="3:5">
      <c r="C341" s="9"/>
      <c r="E341" s="9"/>
    </row>
    <row r="342" spans="3:5">
      <c r="C342" s="9"/>
      <c r="E342" s="9"/>
    </row>
    <row r="343" spans="3:5">
      <c r="C343" s="9"/>
      <c r="E343" s="9"/>
    </row>
    <row r="344" spans="3:5">
      <c r="C344" s="9"/>
      <c r="E344" s="9"/>
    </row>
    <row r="345" spans="3:5">
      <c r="C345" s="9"/>
      <c r="E345" s="9"/>
    </row>
    <row r="346" spans="3:5">
      <c r="C346" s="9"/>
      <c r="E346" s="9"/>
    </row>
    <row r="347" spans="3:5">
      <c r="C347" s="9"/>
      <c r="E347" s="9"/>
    </row>
    <row r="348" spans="3:5">
      <c r="C348" s="9"/>
      <c r="E348" s="9"/>
    </row>
    <row r="349" spans="3:5">
      <c r="C349" s="9"/>
      <c r="E349" s="9"/>
    </row>
    <row r="350" spans="3:5">
      <c r="C350" s="9"/>
      <c r="E350" s="9"/>
    </row>
    <row r="351" spans="3:5">
      <c r="C351" s="9"/>
      <c r="E351" s="9"/>
    </row>
    <row r="352" spans="3:5">
      <c r="C352" s="9"/>
      <c r="E352" s="9"/>
    </row>
    <row r="353" spans="3:5">
      <c r="C353" s="9"/>
      <c r="E353" s="9"/>
    </row>
    <row r="354" spans="3:5">
      <c r="C354" s="9"/>
      <c r="E354" s="9"/>
    </row>
    <row r="355" spans="3:5">
      <c r="C355" s="9"/>
      <c r="E355" s="9"/>
    </row>
    <row r="356" spans="3:5">
      <c r="C356" s="9"/>
      <c r="E356" s="9"/>
    </row>
    <row r="357" spans="3:5">
      <c r="C357" s="9"/>
      <c r="E357" s="9"/>
    </row>
    <row r="358" spans="3:5">
      <c r="C358" s="9"/>
      <c r="E358" s="9"/>
    </row>
    <row r="359" spans="3:5">
      <c r="C359" s="9"/>
      <c r="E359" s="9"/>
    </row>
    <row r="360" spans="3:5">
      <c r="C360" s="9"/>
      <c r="E360" s="9"/>
    </row>
    <row r="361" spans="3:5">
      <c r="C361" s="9"/>
      <c r="E361" s="9"/>
    </row>
    <row r="362" spans="3:5">
      <c r="C362" s="9"/>
      <c r="E362" s="9"/>
    </row>
    <row r="363" spans="3:5">
      <c r="C363" s="9"/>
      <c r="E363" s="9"/>
    </row>
    <row r="364" spans="3:5">
      <c r="C364" s="9"/>
      <c r="E364" s="9"/>
    </row>
    <row r="365" spans="3:5">
      <c r="C365" s="9"/>
      <c r="E365" s="9"/>
    </row>
    <row r="366" spans="3:5">
      <c r="C366" s="9"/>
      <c r="E366" s="9"/>
    </row>
    <row r="367" spans="3:5">
      <c r="C367" s="9"/>
      <c r="E367" s="9"/>
    </row>
    <row r="368" spans="3:5">
      <c r="C368" s="9"/>
      <c r="E368" s="9"/>
    </row>
    <row r="369" spans="3:5">
      <c r="C369" s="9"/>
      <c r="E369" s="9"/>
    </row>
    <row r="370" spans="3:5">
      <c r="C370" s="9"/>
      <c r="E370" s="9"/>
    </row>
    <row r="371" spans="3:5">
      <c r="C371" s="9"/>
      <c r="E371" s="9"/>
    </row>
    <row r="372" spans="3:5">
      <c r="C372" s="9"/>
      <c r="E372" s="9"/>
    </row>
    <row r="373" spans="3:5">
      <c r="C373" s="9"/>
      <c r="E373" s="9"/>
    </row>
    <row r="374" spans="3:5">
      <c r="C374" s="9"/>
      <c r="E374" s="9"/>
    </row>
    <row r="375" spans="3:5">
      <c r="C375" s="9"/>
      <c r="E375" s="9"/>
    </row>
    <row r="376" spans="3:5">
      <c r="C376" s="9"/>
      <c r="E376" s="9"/>
    </row>
    <row r="377" spans="3:5">
      <c r="C377" s="9"/>
      <c r="E377" s="9"/>
    </row>
    <row r="378" spans="3:5">
      <c r="C378" s="9"/>
      <c r="E378" s="9"/>
    </row>
    <row r="379" spans="3:5">
      <c r="C379" s="9"/>
      <c r="E379" s="9"/>
    </row>
    <row r="380" spans="3:5">
      <c r="C380" s="9"/>
      <c r="E380" s="9"/>
    </row>
    <row r="381" spans="3:5">
      <c r="C381" s="9"/>
      <c r="E381" s="9"/>
    </row>
    <row r="382" spans="3:5">
      <c r="C382" s="9"/>
      <c r="E382" s="9"/>
    </row>
    <row r="383" spans="3:5">
      <c r="C383" s="9"/>
      <c r="E383" s="9"/>
    </row>
    <row r="384" spans="3:5">
      <c r="C384" s="9"/>
      <c r="E384" s="9"/>
    </row>
    <row r="385" spans="3:5">
      <c r="C385" s="9"/>
      <c r="E385" s="9"/>
    </row>
    <row r="386" spans="3:5">
      <c r="C386" s="9"/>
      <c r="E386" s="9"/>
    </row>
    <row r="387" spans="3:5">
      <c r="C387" s="9"/>
      <c r="E387" s="9"/>
    </row>
    <row r="388" spans="3:5">
      <c r="C388" s="9"/>
      <c r="E388" s="9"/>
    </row>
    <row r="389" spans="3:5">
      <c r="C389" s="9"/>
      <c r="E389" s="9"/>
    </row>
    <row r="390" spans="3:5">
      <c r="C390" s="9"/>
      <c r="E390" s="9"/>
    </row>
    <row r="391" spans="3:5">
      <c r="C391" s="9"/>
      <c r="E391" s="9"/>
    </row>
    <row r="392" spans="3:5">
      <c r="C392" s="9"/>
      <c r="E392" s="9"/>
    </row>
    <row r="393" spans="3:5">
      <c r="C393" s="9"/>
      <c r="E393" s="9"/>
    </row>
    <row r="394" spans="3:5">
      <c r="C394" s="9"/>
      <c r="E394" s="9"/>
    </row>
    <row r="395" spans="3:5">
      <c r="C395" s="9"/>
      <c r="E395" s="9"/>
    </row>
    <row r="396" spans="3:5">
      <c r="C396" s="9"/>
      <c r="E396" s="9"/>
    </row>
    <row r="397" spans="3:5">
      <c r="C397" s="9"/>
      <c r="E397" s="9"/>
    </row>
    <row r="398" spans="3:5">
      <c r="C398" s="9"/>
      <c r="E398" s="9"/>
    </row>
    <row r="399" spans="3:5">
      <c r="C399" s="9"/>
      <c r="E399" s="9"/>
    </row>
    <row r="400" spans="3:5">
      <c r="C400" s="9"/>
      <c r="E400" s="9"/>
    </row>
    <row r="401" spans="3:5">
      <c r="C401" s="9"/>
      <c r="E401" s="9"/>
    </row>
    <row r="402" spans="3:5">
      <c r="C402" s="9"/>
      <c r="E402" s="9"/>
    </row>
    <row r="403" spans="3:5">
      <c r="C403" s="9"/>
      <c r="E403" s="9"/>
    </row>
    <row r="404" spans="3:5">
      <c r="C404" s="9"/>
      <c r="E404" s="9"/>
    </row>
    <row r="405" spans="3:5">
      <c r="C405" s="9"/>
      <c r="E405" s="9"/>
    </row>
    <row r="406" spans="3:5">
      <c r="C406" s="9"/>
      <c r="E406" s="9"/>
    </row>
    <row r="407" spans="3:5">
      <c r="C407" s="9"/>
      <c r="E407" s="9"/>
    </row>
    <row r="408" spans="3:5">
      <c r="C408" s="9"/>
      <c r="E408" s="9"/>
    </row>
    <row r="409" spans="3:5">
      <c r="C409" s="9"/>
      <c r="E409" s="9"/>
    </row>
    <row r="410" spans="3:5">
      <c r="C410" s="9"/>
      <c r="E410" s="9"/>
    </row>
    <row r="411" spans="3:5">
      <c r="C411" s="9"/>
      <c r="E411" s="9"/>
    </row>
    <row r="412" spans="3:5">
      <c r="C412" s="9"/>
      <c r="E412" s="9"/>
    </row>
    <row r="413" spans="3:5">
      <c r="C413" s="9"/>
      <c r="E413" s="9"/>
    </row>
    <row r="414" spans="3:5">
      <c r="C414" s="9"/>
      <c r="E414" s="9"/>
    </row>
    <row r="415" spans="3:5">
      <c r="C415" s="9"/>
      <c r="E415" s="9"/>
    </row>
    <row r="416" spans="3:5">
      <c r="C416" s="9"/>
      <c r="E416" s="9"/>
    </row>
    <row r="417" spans="3:5">
      <c r="C417" s="9"/>
      <c r="E417" s="9"/>
    </row>
    <row r="418" spans="3:5">
      <c r="C418" s="9"/>
      <c r="E418" s="9"/>
    </row>
    <row r="419" spans="3:5">
      <c r="C419" s="9"/>
      <c r="E419" s="9"/>
    </row>
    <row r="420" spans="3:5">
      <c r="C420" s="9"/>
      <c r="E420" s="9"/>
    </row>
    <row r="421" spans="3:5">
      <c r="C421" s="9"/>
      <c r="E421" s="9"/>
    </row>
    <row r="422" spans="3:5">
      <c r="C422" s="9"/>
      <c r="E422" s="9"/>
    </row>
    <row r="423" spans="3:5">
      <c r="C423" s="9"/>
      <c r="E423" s="9"/>
    </row>
    <row r="424" spans="3:5">
      <c r="C424" s="9"/>
      <c r="E424" s="9"/>
    </row>
    <row r="425" spans="3:5">
      <c r="C425" s="9"/>
      <c r="E425" s="9"/>
    </row>
    <row r="426" spans="3:5">
      <c r="C426" s="9"/>
      <c r="E426" s="9"/>
    </row>
    <row r="427" spans="3:5">
      <c r="C427" s="9"/>
      <c r="E427" s="9"/>
    </row>
    <row r="428" spans="3:5">
      <c r="C428" s="9"/>
      <c r="E428" s="9"/>
    </row>
    <row r="429" spans="3:5">
      <c r="C429" s="9"/>
      <c r="E429" s="9"/>
    </row>
    <row r="430" spans="3:5">
      <c r="C430" s="9"/>
      <c r="E430" s="9"/>
    </row>
    <row r="431" spans="3:5">
      <c r="C431" s="9"/>
      <c r="E431" s="9"/>
    </row>
    <row r="432" spans="3:5">
      <c r="C432" s="9"/>
      <c r="E432" s="9"/>
    </row>
    <row r="433" spans="3:5">
      <c r="C433" s="9"/>
      <c r="E433" s="9"/>
    </row>
    <row r="434" spans="3:5">
      <c r="C434" s="9"/>
      <c r="E434" s="9"/>
    </row>
    <row r="435" spans="3:5">
      <c r="C435" s="9"/>
      <c r="E435" s="9"/>
    </row>
    <row r="436" spans="3:5">
      <c r="C436" s="9"/>
      <c r="E436" s="9"/>
    </row>
    <row r="437" spans="3:5">
      <c r="C437" s="9"/>
      <c r="E437" s="9"/>
    </row>
    <row r="438" spans="3:5">
      <c r="C438" s="9"/>
      <c r="E438" s="9"/>
    </row>
    <row r="439" spans="3:5">
      <c r="C439" s="9"/>
      <c r="E439" s="9"/>
    </row>
    <row r="440" spans="3:5">
      <c r="C440" s="9"/>
      <c r="E440" s="9"/>
    </row>
    <row r="441" spans="3:5">
      <c r="C441" s="9"/>
      <c r="E441" s="9"/>
    </row>
    <row r="442" spans="3:5">
      <c r="C442" s="9"/>
      <c r="E442" s="9"/>
    </row>
    <row r="443" spans="3:5">
      <c r="C443" s="9"/>
      <c r="E443" s="9"/>
    </row>
    <row r="444" spans="3:5">
      <c r="C444" s="9"/>
      <c r="E444" s="9"/>
    </row>
    <row r="445" spans="3:5">
      <c r="C445" s="9"/>
      <c r="E445" s="9"/>
    </row>
    <row r="446" spans="3:5">
      <c r="C446" s="9"/>
      <c r="E446" s="9"/>
    </row>
    <row r="447" spans="3:5">
      <c r="C447" s="9"/>
      <c r="E447" s="9"/>
    </row>
    <row r="448" spans="3:5">
      <c r="C448" s="9"/>
      <c r="E448" s="9"/>
    </row>
    <row r="449" spans="3:5">
      <c r="C449" s="9"/>
      <c r="E449" s="9"/>
    </row>
    <row r="450" spans="3:5">
      <c r="C450" s="9"/>
      <c r="E450" s="9"/>
    </row>
    <row r="451" spans="3:5">
      <c r="C451" s="9"/>
      <c r="E451" s="9"/>
    </row>
    <row r="452" spans="3:5">
      <c r="C452" s="9"/>
      <c r="E452" s="9"/>
    </row>
    <row r="453" spans="3:5">
      <c r="C453" s="9"/>
      <c r="E453" s="9"/>
    </row>
    <row r="454" spans="3:5">
      <c r="C454" s="9"/>
      <c r="E454" s="9"/>
    </row>
    <row r="455" spans="3:5">
      <c r="C455" s="9"/>
      <c r="E455" s="9"/>
    </row>
    <row r="456" spans="3:5">
      <c r="C456" s="9"/>
      <c r="E456" s="9"/>
    </row>
    <row r="457" spans="3:5">
      <c r="C457" s="9"/>
      <c r="E457" s="9"/>
    </row>
    <row r="458" spans="3:5">
      <c r="C458" s="9"/>
      <c r="E458" s="9"/>
    </row>
    <row r="459" spans="3:5">
      <c r="C459" s="9"/>
      <c r="E459" s="9"/>
    </row>
    <row r="460" spans="3:5">
      <c r="C460" s="9"/>
      <c r="E460" s="9"/>
    </row>
    <row r="461" spans="3:5">
      <c r="C461" s="9"/>
      <c r="E461" s="9"/>
    </row>
    <row r="462" spans="3:5">
      <c r="C462" s="9"/>
      <c r="E462" s="9"/>
    </row>
    <row r="463" spans="3:5">
      <c r="C463" s="9"/>
      <c r="E463" s="9"/>
    </row>
    <row r="464" spans="3:5">
      <c r="C464" s="9"/>
      <c r="E464" s="9"/>
    </row>
    <row r="465" spans="3:5">
      <c r="C465" s="9"/>
      <c r="E465" s="9"/>
    </row>
    <row r="466" spans="3:5">
      <c r="C466" s="9"/>
      <c r="E466" s="9"/>
    </row>
    <row r="467" spans="3:5">
      <c r="C467" s="9"/>
      <c r="E467" s="9"/>
    </row>
    <row r="468" spans="3:5">
      <c r="C468" s="9"/>
      <c r="E468" s="9"/>
    </row>
    <row r="469" spans="3:5">
      <c r="C469" s="9"/>
      <c r="E469" s="9"/>
    </row>
    <row r="470" spans="3:5">
      <c r="C470" s="9"/>
      <c r="E470" s="9"/>
    </row>
    <row r="471" spans="3:5">
      <c r="C471" s="9"/>
      <c r="E471" s="9"/>
    </row>
    <row r="472" spans="3:5">
      <c r="C472" s="9"/>
      <c r="E472" s="9"/>
    </row>
    <row r="473" spans="3:5">
      <c r="C473" s="9"/>
      <c r="E473" s="9"/>
    </row>
    <row r="474" spans="3:5">
      <c r="C474" s="9"/>
      <c r="E474" s="9"/>
    </row>
    <row r="475" spans="3:5">
      <c r="C475" s="9"/>
      <c r="E475" s="9"/>
    </row>
    <row r="476" spans="3:5">
      <c r="C476" s="9"/>
      <c r="E476" s="9"/>
    </row>
    <row r="477" spans="3:5">
      <c r="C477" s="9"/>
      <c r="E477" s="9"/>
    </row>
    <row r="478" spans="3:5">
      <c r="C478" s="9"/>
      <c r="E478" s="9"/>
    </row>
    <row r="479" spans="3:5">
      <c r="C479" s="9"/>
      <c r="E479" s="9"/>
    </row>
    <row r="480" spans="3:5">
      <c r="C480" s="9"/>
      <c r="E480" s="9"/>
    </row>
    <row r="481" spans="3:5">
      <c r="C481" s="9"/>
      <c r="E481" s="9"/>
    </row>
    <row r="482" spans="3:5">
      <c r="C482" s="9"/>
      <c r="E482" s="9"/>
    </row>
    <row r="483" spans="3:5">
      <c r="C483" s="9"/>
      <c r="E483" s="9"/>
    </row>
    <row r="484" spans="3:5">
      <c r="C484" s="9"/>
      <c r="E484" s="9"/>
    </row>
    <row r="485" spans="3:5">
      <c r="C485" s="9"/>
      <c r="E485" s="9"/>
    </row>
    <row r="486" spans="3:5">
      <c r="C486" s="9"/>
      <c r="E486" s="9"/>
    </row>
    <row r="487" spans="3:5">
      <c r="C487" s="9"/>
      <c r="E487" s="9"/>
    </row>
    <row r="488" spans="3:5">
      <c r="C488" s="9"/>
      <c r="E488" s="9"/>
    </row>
    <row r="489" spans="3:5">
      <c r="C489" s="9"/>
      <c r="E489" s="9"/>
    </row>
    <row r="490" spans="3:5">
      <c r="C490" s="9"/>
      <c r="E490" s="9"/>
    </row>
    <row r="491" spans="3:5">
      <c r="C491" s="9"/>
      <c r="E491" s="9"/>
    </row>
    <row r="492" spans="3:5">
      <c r="C492" s="9"/>
      <c r="E492" s="9"/>
    </row>
    <row r="493" spans="3:5">
      <c r="C493" s="9"/>
      <c r="E493" s="9"/>
    </row>
    <row r="494" spans="3:5">
      <c r="C494" s="9"/>
      <c r="E494" s="9"/>
    </row>
    <row r="495" spans="3:5">
      <c r="C495" s="9"/>
      <c r="E495" s="9"/>
    </row>
    <row r="496" spans="3:5">
      <c r="C496" s="9"/>
      <c r="E496" s="9"/>
    </row>
    <row r="497" spans="3:5">
      <c r="C497" s="9"/>
      <c r="E497" s="9"/>
    </row>
    <row r="498" spans="3:5">
      <c r="C498" s="9"/>
      <c r="E498" s="9"/>
    </row>
    <row r="499" spans="3:5">
      <c r="C499" s="9"/>
      <c r="E499" s="9"/>
    </row>
    <row r="500" spans="3:5">
      <c r="C500" s="9"/>
      <c r="E500" s="9"/>
    </row>
    <row r="501" spans="3:5">
      <c r="C501" s="9"/>
      <c r="E501" s="9"/>
    </row>
    <row r="502" spans="3:5">
      <c r="C502" s="9"/>
      <c r="E502" s="9"/>
    </row>
    <row r="503" spans="3:5">
      <c r="C503" s="9"/>
      <c r="E503" s="9"/>
    </row>
    <row r="504" spans="3:5">
      <c r="C504" s="9"/>
      <c r="E504" s="9"/>
    </row>
    <row r="505" spans="3:5">
      <c r="C505" s="9"/>
      <c r="E505" s="9"/>
    </row>
    <row r="506" spans="3:5">
      <c r="C506" s="9"/>
      <c r="E506" s="9"/>
    </row>
    <row r="507" spans="3:5">
      <c r="C507" s="9"/>
      <c r="E507" s="9"/>
    </row>
    <row r="508" spans="3:5">
      <c r="C508" s="9"/>
      <c r="E508" s="9"/>
    </row>
    <row r="509" spans="3:5">
      <c r="C509" s="9"/>
      <c r="E509" s="9"/>
    </row>
    <row r="510" spans="3:5">
      <c r="C510" s="9"/>
      <c r="E510" s="9"/>
    </row>
    <row r="511" spans="3:5">
      <c r="C511" s="9"/>
      <c r="E511" s="9"/>
    </row>
    <row r="512" spans="3:5">
      <c r="C512" s="9"/>
      <c r="E512" s="9"/>
    </row>
    <row r="513" spans="3:5">
      <c r="C513" s="9"/>
      <c r="E513" s="9"/>
    </row>
    <row r="514" spans="3:5">
      <c r="C514" s="9"/>
      <c r="E514" s="9"/>
    </row>
    <row r="515" spans="3:5">
      <c r="C515" s="9"/>
      <c r="E515" s="9"/>
    </row>
    <row r="516" spans="3:5">
      <c r="C516" s="9"/>
      <c r="E516" s="9"/>
    </row>
    <row r="517" spans="3:5">
      <c r="C517" s="9"/>
      <c r="E517" s="9"/>
    </row>
    <row r="518" spans="3:5">
      <c r="C518" s="9"/>
      <c r="E518" s="9"/>
    </row>
    <row r="519" spans="3:5">
      <c r="C519" s="9"/>
      <c r="E519" s="9"/>
    </row>
    <row r="520" spans="3:5">
      <c r="C520" s="9"/>
      <c r="E520" s="9"/>
    </row>
    <row r="521" spans="3:5">
      <c r="C521" s="9"/>
      <c r="E521" s="9"/>
    </row>
    <row r="522" spans="3:5">
      <c r="C522" s="9"/>
      <c r="E522" s="9"/>
    </row>
    <row r="523" spans="3:5">
      <c r="C523" s="9"/>
      <c r="E523" s="9"/>
    </row>
    <row r="524" spans="3:5">
      <c r="C524" s="9"/>
      <c r="E524" s="9"/>
    </row>
    <row r="525" spans="3:5">
      <c r="C525" s="9"/>
      <c r="E525" s="9"/>
    </row>
    <row r="526" spans="3:5">
      <c r="C526" s="9"/>
      <c r="E526" s="9"/>
    </row>
    <row r="527" spans="3:5">
      <c r="C527" s="9"/>
      <c r="E527" s="9"/>
    </row>
    <row r="528" spans="3:5">
      <c r="C528" s="9"/>
      <c r="E528" s="9"/>
    </row>
    <row r="529" spans="3:5">
      <c r="C529" s="9"/>
      <c r="E529" s="9"/>
    </row>
    <row r="530" spans="3:5">
      <c r="C530" s="9"/>
      <c r="E530" s="9"/>
    </row>
    <row r="531" spans="3:5">
      <c r="C531" s="9"/>
      <c r="E531" s="9"/>
    </row>
    <row r="532" spans="3:5">
      <c r="C532" s="9"/>
      <c r="E532" s="9"/>
    </row>
    <row r="533" spans="3:5">
      <c r="C533" s="9"/>
      <c r="E533" s="9"/>
    </row>
    <row r="534" spans="3:5">
      <c r="C534" s="9"/>
      <c r="E534" s="9"/>
    </row>
    <row r="535" spans="3:5">
      <c r="C535" s="9"/>
      <c r="E535" s="9"/>
    </row>
    <row r="536" spans="3:5">
      <c r="C536" s="9"/>
      <c r="E536" s="9"/>
    </row>
    <row r="537" spans="3:5">
      <c r="C537" s="9"/>
      <c r="E537" s="9"/>
    </row>
    <row r="538" spans="3:5">
      <c r="C538" s="9"/>
      <c r="E538" s="9"/>
    </row>
    <row r="539" spans="3:5">
      <c r="C539" s="9"/>
      <c r="E539" s="9"/>
    </row>
    <row r="540" spans="3:5">
      <c r="C540" s="9"/>
      <c r="E540" s="9"/>
    </row>
    <row r="541" spans="3:5">
      <c r="C541" s="9"/>
      <c r="E541" s="9"/>
    </row>
    <row r="542" spans="3:5">
      <c r="C542" s="9"/>
      <c r="E542" s="9"/>
    </row>
    <row r="543" spans="3:5">
      <c r="C543" s="9"/>
      <c r="E543" s="9"/>
    </row>
    <row r="544" spans="3:5">
      <c r="C544" s="9"/>
      <c r="E544" s="9"/>
    </row>
    <row r="545" spans="3:5">
      <c r="C545" s="9"/>
      <c r="E545" s="9"/>
    </row>
    <row r="546" spans="3:5">
      <c r="C546" s="9"/>
      <c r="E546" s="9"/>
    </row>
    <row r="547" spans="3:5">
      <c r="C547" s="9"/>
      <c r="E547" s="9"/>
    </row>
    <row r="548" spans="3:5">
      <c r="C548" s="9"/>
      <c r="E548" s="9"/>
    </row>
    <row r="549" spans="3:5">
      <c r="C549" s="9"/>
      <c r="E549" s="9"/>
    </row>
    <row r="550" spans="3:5">
      <c r="C550" s="9"/>
      <c r="E550" s="9"/>
    </row>
    <row r="551" spans="3:5">
      <c r="C551" s="9"/>
      <c r="E551" s="9"/>
    </row>
    <row r="552" spans="3:5">
      <c r="C552" s="9"/>
      <c r="E552" s="9"/>
    </row>
    <row r="553" spans="3:5">
      <c r="C553" s="9"/>
      <c r="E553" s="9"/>
    </row>
    <row r="554" spans="3:5">
      <c r="C554" s="9"/>
      <c r="E554" s="9"/>
    </row>
    <row r="555" spans="3:5">
      <c r="C555" s="9"/>
      <c r="E555" s="9"/>
    </row>
    <row r="556" spans="3:5">
      <c r="C556" s="9"/>
      <c r="E556" s="9"/>
    </row>
    <row r="557" spans="3:5">
      <c r="C557" s="9"/>
      <c r="E557" s="9"/>
    </row>
    <row r="558" spans="3:5">
      <c r="C558" s="9"/>
      <c r="E558" s="9"/>
    </row>
    <row r="559" spans="3:5">
      <c r="C559" s="9"/>
      <c r="E559" s="9"/>
    </row>
    <row r="560" spans="3:5">
      <c r="C560" s="9"/>
      <c r="E560" s="9"/>
    </row>
    <row r="561" spans="3:5">
      <c r="C561" s="9"/>
      <c r="E561" s="9"/>
    </row>
    <row r="562" spans="3:5">
      <c r="C562" s="9"/>
      <c r="E562" s="9"/>
    </row>
    <row r="563" spans="3:5">
      <c r="C563" s="9"/>
      <c r="E563" s="9"/>
    </row>
    <row r="564" spans="3:5">
      <c r="C564" s="9"/>
      <c r="E564" s="9"/>
    </row>
    <row r="565" spans="3:5">
      <c r="C565" s="9"/>
      <c r="E565" s="9"/>
    </row>
    <row r="566" spans="3:5">
      <c r="C566" s="9"/>
      <c r="E566" s="9"/>
    </row>
    <row r="567" spans="3:5">
      <c r="C567" s="9"/>
      <c r="E567" s="9"/>
    </row>
    <row r="568" spans="3:5">
      <c r="C568" s="9"/>
      <c r="E568" s="9"/>
    </row>
    <row r="569" spans="3:5">
      <c r="C569" s="9"/>
      <c r="E569" s="9"/>
    </row>
    <row r="570" spans="3:5">
      <c r="C570" s="9"/>
      <c r="E570" s="9"/>
    </row>
    <row r="571" spans="3:5">
      <c r="C571" s="9"/>
      <c r="E571" s="9"/>
    </row>
    <row r="572" spans="3:5">
      <c r="C572" s="9"/>
      <c r="E572" s="9"/>
    </row>
    <row r="573" spans="3:5">
      <c r="C573" s="9"/>
      <c r="E573" s="9"/>
    </row>
    <row r="574" spans="3:5">
      <c r="C574" s="9"/>
      <c r="E574" s="9"/>
    </row>
    <row r="575" spans="3:5">
      <c r="C575" s="9"/>
      <c r="E575" s="9"/>
    </row>
    <row r="576" spans="3:5">
      <c r="C576" s="9"/>
      <c r="E576" s="9"/>
    </row>
    <row r="577" spans="3:5">
      <c r="C577" s="9"/>
      <c r="E577" s="9"/>
    </row>
    <row r="578" spans="3:5">
      <c r="C578" s="9"/>
      <c r="E578" s="9"/>
    </row>
    <row r="579" spans="3:5">
      <c r="C579" s="9"/>
      <c r="E579" s="9"/>
    </row>
    <row r="580" spans="3:5">
      <c r="C580" s="9"/>
      <c r="E580" s="9"/>
    </row>
    <row r="581" spans="3:5">
      <c r="C581" s="9"/>
      <c r="E581" s="9"/>
    </row>
    <row r="582" spans="3:5">
      <c r="C582" s="9"/>
      <c r="E582" s="9"/>
    </row>
    <row r="583" spans="3:5">
      <c r="C583" s="9"/>
      <c r="E583" s="9"/>
    </row>
    <row r="584" spans="3:5">
      <c r="C584" s="9"/>
      <c r="E584" s="9"/>
    </row>
    <row r="585" spans="3:5">
      <c r="C585" s="9"/>
      <c r="E585" s="9"/>
    </row>
    <row r="586" spans="3:5">
      <c r="C586" s="9"/>
      <c r="E586" s="9"/>
    </row>
    <row r="587" spans="3:5">
      <c r="C587" s="9"/>
      <c r="E587" s="9"/>
    </row>
    <row r="588" spans="3:5">
      <c r="C588" s="9"/>
      <c r="E588" s="9"/>
    </row>
    <row r="589" spans="3:5">
      <c r="C589" s="9"/>
      <c r="E589" s="9"/>
    </row>
    <row r="590" spans="3:5">
      <c r="C590" s="9"/>
      <c r="E590" s="9"/>
    </row>
    <row r="591" spans="3:5">
      <c r="C591" s="9"/>
      <c r="E591" s="9"/>
    </row>
    <row r="592" spans="3:5">
      <c r="C592" s="9"/>
      <c r="E592" s="9"/>
    </row>
    <row r="593" spans="3:5">
      <c r="C593" s="9"/>
      <c r="E593" s="9"/>
    </row>
    <row r="594" spans="3:5">
      <c r="C594" s="9"/>
      <c r="E594" s="9"/>
    </row>
    <row r="595" spans="3:5">
      <c r="C595" s="9"/>
      <c r="E595" s="9"/>
    </row>
    <row r="596" spans="3:5">
      <c r="C596" s="9"/>
      <c r="E596" s="9"/>
    </row>
    <row r="597" spans="3:5">
      <c r="C597" s="9"/>
      <c r="E597" s="9"/>
    </row>
    <row r="598" spans="3:5">
      <c r="C598" s="9"/>
      <c r="E598" s="9"/>
    </row>
    <row r="599" spans="3:5">
      <c r="C599" s="9"/>
      <c r="E599" s="9"/>
    </row>
    <row r="600" spans="3:5">
      <c r="C600" s="9"/>
      <c r="E600" s="9"/>
    </row>
    <row r="601" spans="3:5">
      <c r="C601" s="9"/>
      <c r="E601" s="9"/>
    </row>
    <row r="602" spans="3:5">
      <c r="C602" s="9"/>
      <c r="E602" s="9"/>
    </row>
    <row r="603" spans="3:5">
      <c r="C603" s="9"/>
      <c r="E603" s="9"/>
    </row>
    <row r="604" spans="3:5">
      <c r="C604" s="9"/>
      <c r="E604" s="9"/>
    </row>
    <row r="605" spans="3:5">
      <c r="C605" s="9"/>
      <c r="E605" s="9"/>
    </row>
    <row r="606" spans="3:5">
      <c r="C606" s="9"/>
      <c r="E606" s="9"/>
    </row>
    <row r="607" spans="3:5">
      <c r="C607" s="9"/>
      <c r="E607" s="9"/>
    </row>
    <row r="608" spans="3:5">
      <c r="C608" s="9"/>
      <c r="E608" s="9"/>
    </row>
    <row r="609" spans="3:5">
      <c r="C609" s="9"/>
      <c r="E609" s="9"/>
    </row>
    <row r="610" spans="3:5">
      <c r="C610" s="9"/>
      <c r="E610" s="9"/>
    </row>
    <row r="611" spans="3:5">
      <c r="C611" s="9"/>
      <c r="E611" s="9"/>
    </row>
    <row r="612" spans="3:5">
      <c r="C612" s="9"/>
      <c r="E612" s="9"/>
    </row>
    <row r="613" spans="3:5">
      <c r="C613" s="9"/>
      <c r="E613" s="9"/>
    </row>
    <row r="614" spans="3:5">
      <c r="C614" s="9"/>
      <c r="E614" s="9"/>
    </row>
    <row r="615" spans="3:5">
      <c r="C615" s="9"/>
      <c r="E615" s="9"/>
    </row>
    <row r="616" spans="3:5">
      <c r="C616" s="9"/>
      <c r="E616" s="9"/>
    </row>
    <row r="617" spans="3:5">
      <c r="C617" s="9"/>
      <c r="E617" s="9"/>
    </row>
    <row r="618" spans="3:5">
      <c r="C618" s="9"/>
      <c r="E618" s="9"/>
    </row>
    <row r="619" spans="3:5">
      <c r="C619" s="9"/>
      <c r="E619" s="9"/>
    </row>
    <row r="620" spans="3:5">
      <c r="C620" s="9"/>
      <c r="E620" s="9"/>
    </row>
    <row r="621" spans="3:5">
      <c r="C621" s="9"/>
      <c r="E621" s="9"/>
    </row>
    <row r="622" spans="3:5">
      <c r="C622" s="9"/>
      <c r="E622" s="9"/>
    </row>
    <row r="623" spans="3:5">
      <c r="C623" s="9"/>
      <c r="E623" s="9"/>
    </row>
    <row r="624" spans="3:5">
      <c r="C624" s="9"/>
      <c r="E624" s="9"/>
    </row>
    <row r="625" spans="3:5">
      <c r="C625" s="9"/>
      <c r="E625" s="9"/>
    </row>
    <row r="626" spans="3:5">
      <c r="C626" s="9"/>
      <c r="E626" s="9"/>
    </row>
    <row r="627" spans="3:5">
      <c r="C627" s="9"/>
      <c r="E627" s="9"/>
    </row>
    <row r="628" spans="3:5">
      <c r="C628" s="9"/>
      <c r="E628" s="9"/>
    </row>
    <row r="629" spans="3:5">
      <c r="C629" s="9"/>
      <c r="E629" s="9"/>
    </row>
    <row r="630" spans="3:5">
      <c r="C630" s="9"/>
      <c r="E630" s="9"/>
    </row>
    <row r="631" spans="3:5">
      <c r="C631" s="9"/>
      <c r="E631" s="9"/>
    </row>
    <row r="632" spans="3:5">
      <c r="C632" s="9"/>
      <c r="E632" s="9"/>
    </row>
    <row r="633" spans="3:5">
      <c r="C633" s="9"/>
      <c r="E633" s="9"/>
    </row>
    <row r="634" spans="3:5">
      <c r="C634" s="9"/>
      <c r="E634" s="9"/>
    </row>
    <row r="635" spans="3:5">
      <c r="C635" s="9"/>
      <c r="E635" s="9"/>
    </row>
    <row r="636" spans="3:5">
      <c r="C636" s="9"/>
      <c r="E636" s="9"/>
    </row>
    <row r="637" spans="3:5">
      <c r="C637" s="9"/>
      <c r="E637" s="9"/>
    </row>
    <row r="638" spans="3:5">
      <c r="C638" s="9"/>
      <c r="E638" s="9"/>
    </row>
    <row r="639" spans="3:5">
      <c r="C639" s="9"/>
      <c r="E639" s="9"/>
    </row>
    <row r="640" spans="3:5">
      <c r="C640" s="9"/>
      <c r="E640" s="9"/>
    </row>
    <row r="641" spans="3:5">
      <c r="C641" s="9"/>
      <c r="E641" s="9"/>
    </row>
    <row r="642" spans="3:5">
      <c r="C642" s="9"/>
      <c r="E642" s="9"/>
    </row>
    <row r="643" spans="3:5">
      <c r="C643" s="9"/>
      <c r="E643" s="9"/>
    </row>
    <row r="644" spans="3:5">
      <c r="C644" s="9"/>
      <c r="E644" s="9"/>
    </row>
    <row r="645" spans="3:5">
      <c r="C645" s="9"/>
      <c r="E645" s="9"/>
    </row>
    <row r="646" spans="3:5">
      <c r="C646" s="9"/>
      <c r="E646" s="9"/>
    </row>
    <row r="647" spans="3:5">
      <c r="C647" s="9"/>
      <c r="E647" s="9"/>
    </row>
    <row r="648" spans="3:5">
      <c r="C648" s="9"/>
      <c r="E648" s="9"/>
    </row>
    <row r="649" spans="3:5">
      <c r="C649" s="9"/>
      <c r="E649" s="9"/>
    </row>
    <row r="650" spans="3:5">
      <c r="C650" s="9"/>
      <c r="E650" s="9"/>
    </row>
    <row r="651" spans="3:5">
      <c r="C651" s="9"/>
      <c r="E651" s="9"/>
    </row>
    <row r="652" spans="3:5">
      <c r="C652" s="9"/>
      <c r="E652" s="9"/>
    </row>
    <row r="653" spans="3:5">
      <c r="C653" s="9"/>
      <c r="E653" s="9"/>
    </row>
    <row r="654" spans="3:5">
      <c r="C654" s="9"/>
      <c r="E654" s="9"/>
    </row>
    <row r="655" spans="3:5">
      <c r="C655" s="9"/>
      <c r="E655" s="9"/>
    </row>
    <row r="656" spans="3:5">
      <c r="C656" s="9"/>
      <c r="E656" s="9"/>
    </row>
    <row r="657" spans="3:5">
      <c r="C657" s="9"/>
      <c r="E657" s="9"/>
    </row>
    <row r="658" spans="3:5">
      <c r="C658" s="9"/>
      <c r="E658" s="9"/>
    </row>
    <row r="659" spans="3:5">
      <c r="C659" s="9"/>
      <c r="E659" s="9"/>
    </row>
    <row r="660" spans="3:5">
      <c r="C660" s="9"/>
      <c r="E660" s="9"/>
    </row>
    <row r="661" spans="3:5">
      <c r="C661" s="9"/>
      <c r="E661" s="9"/>
    </row>
    <row r="662" spans="3:5">
      <c r="C662" s="9"/>
      <c r="E662" s="9"/>
    </row>
    <row r="663" spans="3:5">
      <c r="C663" s="9"/>
      <c r="E663" s="9"/>
    </row>
    <row r="664" spans="3:5">
      <c r="C664" s="9"/>
      <c r="E664" s="9"/>
    </row>
    <row r="665" spans="3:5">
      <c r="C665" s="9"/>
      <c r="E665" s="9"/>
    </row>
    <row r="666" spans="3:5">
      <c r="C666" s="9"/>
      <c r="E666" s="9"/>
    </row>
    <row r="667" spans="3:5">
      <c r="C667" s="9"/>
      <c r="E667" s="9"/>
    </row>
    <row r="668" spans="3:5">
      <c r="C668" s="9"/>
      <c r="E668" s="9"/>
    </row>
    <row r="669" spans="3:5">
      <c r="C669" s="9"/>
      <c r="E669" s="9"/>
    </row>
    <row r="670" spans="3:5">
      <c r="C670" s="9"/>
      <c r="E670" s="9"/>
    </row>
    <row r="671" spans="3:5">
      <c r="C671" s="9"/>
      <c r="E671" s="9"/>
    </row>
    <row r="672" spans="3:5">
      <c r="C672" s="9"/>
      <c r="E672" s="9"/>
    </row>
    <row r="673" spans="3:5">
      <c r="C673" s="9"/>
      <c r="E673" s="9"/>
    </row>
    <row r="674" spans="3:5">
      <c r="C674" s="9"/>
      <c r="E674" s="9"/>
    </row>
    <row r="675" spans="3:5">
      <c r="C675" s="9"/>
      <c r="E675" s="9"/>
    </row>
    <row r="676" spans="3:5">
      <c r="C676" s="9"/>
      <c r="E676" s="9"/>
    </row>
    <row r="677" spans="3:5">
      <c r="C677" s="9"/>
      <c r="E677" s="9"/>
    </row>
    <row r="678" spans="3:5">
      <c r="C678" s="9"/>
      <c r="E678" s="9"/>
    </row>
    <row r="679" spans="3:5">
      <c r="C679" s="9"/>
      <c r="E679" s="9"/>
    </row>
    <row r="680" spans="3:5">
      <c r="C680" s="9"/>
      <c r="E680" s="9"/>
    </row>
    <row r="681" spans="3:5">
      <c r="C681" s="9"/>
      <c r="E681" s="9"/>
    </row>
    <row r="682" spans="3:5">
      <c r="C682" s="9"/>
      <c r="E682" s="9"/>
    </row>
    <row r="683" spans="3:5">
      <c r="C683" s="9"/>
      <c r="E683" s="9"/>
    </row>
    <row r="684" spans="3:5">
      <c r="C684" s="9"/>
      <c r="E684" s="9"/>
    </row>
    <row r="685" spans="3:5">
      <c r="C685" s="9"/>
      <c r="E685" s="9"/>
    </row>
    <row r="686" spans="3:5">
      <c r="C686" s="9"/>
      <c r="E686" s="9"/>
    </row>
    <row r="687" spans="3:5">
      <c r="C687" s="9"/>
      <c r="E687" s="9"/>
    </row>
    <row r="688" spans="3:5">
      <c r="C688" s="9"/>
      <c r="E688" s="9"/>
    </row>
    <row r="689" spans="3:5">
      <c r="C689" s="9"/>
      <c r="E689" s="9"/>
    </row>
    <row r="690" spans="3:5">
      <c r="C690" s="9"/>
      <c r="E690" s="9"/>
    </row>
    <row r="691" spans="3:5">
      <c r="C691" s="9"/>
      <c r="E691" s="9"/>
    </row>
    <row r="692" spans="3:5">
      <c r="C692" s="9"/>
      <c r="E692" s="9"/>
    </row>
    <row r="693" spans="3:5">
      <c r="C693" s="9"/>
      <c r="E693" s="9"/>
    </row>
    <row r="694" spans="3:5">
      <c r="C694" s="9"/>
      <c r="E694" s="9"/>
    </row>
    <row r="695" spans="3:5">
      <c r="C695" s="9"/>
      <c r="E695" s="9"/>
    </row>
    <row r="696" spans="3:5">
      <c r="C696" s="9"/>
      <c r="E696" s="9"/>
    </row>
    <row r="697" spans="3:5">
      <c r="C697" s="9"/>
      <c r="E697" s="9"/>
    </row>
    <row r="698" spans="3:5">
      <c r="C698" s="9"/>
      <c r="E698" s="9"/>
    </row>
    <row r="699" spans="3:5">
      <c r="C699" s="9"/>
      <c r="E699" s="9"/>
    </row>
    <row r="700" spans="3:5">
      <c r="C700" s="9"/>
      <c r="E700" s="9"/>
    </row>
    <row r="701" spans="3:5">
      <c r="C701" s="9"/>
      <c r="E701" s="9"/>
    </row>
    <row r="702" spans="3:5">
      <c r="C702" s="9"/>
      <c r="E702" s="9"/>
    </row>
    <row r="703" spans="3:5">
      <c r="C703" s="9"/>
      <c r="E703" s="9"/>
    </row>
    <row r="704" spans="3:5">
      <c r="C704" s="9"/>
      <c r="E704" s="9"/>
    </row>
    <row r="705" spans="3:5">
      <c r="C705" s="9"/>
      <c r="E705" s="9"/>
    </row>
    <row r="706" spans="3:5">
      <c r="C706" s="9"/>
      <c r="E706" s="9"/>
    </row>
    <row r="707" spans="3:5">
      <c r="C707" s="9"/>
      <c r="E707" s="9"/>
    </row>
    <row r="708" spans="3:5">
      <c r="C708" s="9"/>
      <c r="E708" s="9"/>
    </row>
    <row r="709" spans="3:5">
      <c r="C709" s="9"/>
      <c r="E709" s="9"/>
    </row>
    <row r="710" spans="3:5">
      <c r="C710" s="9"/>
      <c r="E710" s="9"/>
    </row>
    <row r="711" spans="3:5">
      <c r="C711" s="9"/>
      <c r="E711" s="9"/>
    </row>
    <row r="712" spans="3:5">
      <c r="C712" s="9"/>
      <c r="E712" s="9"/>
    </row>
    <row r="713" spans="3:5">
      <c r="C713" s="9"/>
      <c r="E713" s="9"/>
    </row>
    <row r="714" spans="3:5">
      <c r="C714" s="9"/>
      <c r="E714" s="9"/>
    </row>
    <row r="715" spans="3:5">
      <c r="C715" s="9"/>
      <c r="E715" s="9"/>
    </row>
    <row r="716" spans="3:5">
      <c r="C716" s="9"/>
      <c r="E716" s="9"/>
    </row>
    <row r="717" spans="3:5">
      <c r="C717" s="9"/>
      <c r="E717" s="9"/>
    </row>
    <row r="718" spans="3:5">
      <c r="C718" s="9"/>
      <c r="E718" s="9"/>
    </row>
    <row r="719" spans="3:5">
      <c r="C719" s="9"/>
      <c r="E719" s="9"/>
    </row>
    <row r="720" spans="3:5">
      <c r="C720" s="9"/>
      <c r="E720" s="9"/>
    </row>
    <row r="721" spans="3:5">
      <c r="C721" s="9"/>
      <c r="E721" s="9"/>
    </row>
    <row r="722" spans="3:5">
      <c r="C722" s="9"/>
      <c r="E722" s="9"/>
    </row>
    <row r="723" spans="3:5">
      <c r="C723" s="9"/>
      <c r="E723" s="9"/>
    </row>
    <row r="724" spans="3:5">
      <c r="C724" s="9"/>
      <c r="E724" s="9"/>
    </row>
    <row r="725" spans="3:5">
      <c r="C725" s="9"/>
      <c r="E725" s="9"/>
    </row>
    <row r="726" spans="3:5">
      <c r="C726" s="9"/>
      <c r="E726" s="9"/>
    </row>
    <row r="727" spans="3:5">
      <c r="C727" s="9"/>
      <c r="E727" s="9"/>
    </row>
    <row r="728" spans="3:5">
      <c r="C728" s="9"/>
      <c r="E728" s="9"/>
    </row>
    <row r="729" spans="3:5">
      <c r="C729" s="9"/>
      <c r="E729" s="9"/>
    </row>
    <row r="730" spans="3:5">
      <c r="C730" s="9"/>
      <c r="E730" s="9"/>
    </row>
    <row r="731" spans="3:5">
      <c r="C731" s="9"/>
      <c r="E731" s="9"/>
    </row>
    <row r="732" spans="3:5">
      <c r="C732" s="9"/>
      <c r="E732" s="9"/>
    </row>
    <row r="733" spans="3:5">
      <c r="C733" s="9"/>
      <c r="E733" s="9"/>
    </row>
    <row r="734" spans="3:5">
      <c r="C734" s="9"/>
      <c r="E734" s="9"/>
    </row>
    <row r="735" spans="3:5">
      <c r="C735" s="9"/>
      <c r="E735" s="9"/>
    </row>
    <row r="736" spans="3:5">
      <c r="C736" s="9"/>
      <c r="E736" s="9"/>
    </row>
    <row r="737" spans="3:5">
      <c r="C737" s="9"/>
      <c r="E737" s="9"/>
    </row>
    <row r="738" spans="3:5">
      <c r="C738" s="9"/>
      <c r="E738" s="9"/>
    </row>
    <row r="739" spans="3:5">
      <c r="C739" s="9"/>
      <c r="E739" s="9"/>
    </row>
    <row r="740" spans="3:5">
      <c r="C740" s="9"/>
      <c r="E740" s="9"/>
    </row>
    <row r="741" spans="3:5">
      <c r="C741" s="9"/>
      <c r="E741" s="9"/>
    </row>
    <row r="742" spans="3:5">
      <c r="C742" s="9"/>
      <c r="E742" s="9"/>
    </row>
    <row r="743" spans="3:5">
      <c r="C743" s="9"/>
      <c r="E743" s="9"/>
    </row>
    <row r="744" spans="3:5">
      <c r="C744" s="9"/>
      <c r="E744" s="9"/>
    </row>
    <row r="745" spans="3:5">
      <c r="C745" s="9"/>
      <c r="E745" s="9"/>
    </row>
    <row r="746" spans="3:5">
      <c r="C746" s="9"/>
      <c r="E746" s="9"/>
    </row>
    <row r="747" spans="3:5">
      <c r="C747" s="9"/>
      <c r="E747" s="9"/>
    </row>
    <row r="748" spans="3:5">
      <c r="C748" s="9"/>
      <c r="E748" s="9"/>
    </row>
    <row r="749" spans="3:5">
      <c r="C749" s="9"/>
      <c r="E749" s="9"/>
    </row>
    <row r="750" spans="3:5">
      <c r="C750" s="9"/>
      <c r="E750" s="9"/>
    </row>
    <row r="751" spans="3:5">
      <c r="C751" s="9"/>
      <c r="E751" s="9"/>
    </row>
    <row r="752" spans="3:5">
      <c r="C752" s="9"/>
      <c r="E752" s="9"/>
    </row>
    <row r="753" spans="3:5">
      <c r="C753" s="9"/>
      <c r="E753" s="9"/>
    </row>
    <row r="754" spans="3:5">
      <c r="C754" s="9"/>
      <c r="E754" s="9"/>
    </row>
    <row r="755" spans="3:5">
      <c r="C755" s="9"/>
      <c r="E755" s="9"/>
    </row>
    <row r="756" spans="3:5">
      <c r="C756" s="9"/>
      <c r="E756" s="9"/>
    </row>
    <row r="757" spans="3:5">
      <c r="C757" s="9"/>
      <c r="E757" s="9"/>
    </row>
    <row r="758" spans="3:5">
      <c r="C758" s="9"/>
      <c r="E758" s="9"/>
    </row>
    <row r="759" spans="3:5">
      <c r="C759" s="9"/>
      <c r="E759" s="9"/>
    </row>
    <row r="760" spans="3:5">
      <c r="C760" s="9"/>
      <c r="E760" s="9"/>
    </row>
    <row r="761" spans="3:5">
      <c r="C761" s="9"/>
      <c r="E761" s="9"/>
    </row>
    <row r="762" spans="3:5">
      <c r="C762" s="9"/>
      <c r="E762" s="9"/>
    </row>
    <row r="763" spans="3:5">
      <c r="C763" s="9"/>
      <c r="E763" s="9"/>
    </row>
    <row r="764" spans="3:5">
      <c r="C764" s="9"/>
      <c r="E764" s="9"/>
    </row>
    <row r="765" spans="3:5">
      <c r="C765" s="9"/>
      <c r="E765" s="9"/>
    </row>
    <row r="766" spans="3:5">
      <c r="C766" s="9"/>
      <c r="E766" s="9"/>
    </row>
    <row r="767" spans="3:5">
      <c r="C767" s="9"/>
      <c r="E767" s="9"/>
    </row>
    <row r="768" spans="3:5">
      <c r="C768" s="9"/>
      <c r="E768" s="9"/>
    </row>
    <row r="769" spans="3:5">
      <c r="C769" s="9"/>
      <c r="E769" s="9"/>
    </row>
    <row r="770" spans="3:5">
      <c r="C770" s="9"/>
      <c r="E770" s="9"/>
    </row>
    <row r="771" spans="3:5">
      <c r="C771" s="9"/>
      <c r="E771" s="9"/>
    </row>
    <row r="772" spans="3:5">
      <c r="C772" s="9"/>
      <c r="E772" s="9"/>
    </row>
    <row r="773" spans="3:5">
      <c r="C773" s="9"/>
      <c r="E773" s="9"/>
    </row>
    <row r="774" spans="3:5">
      <c r="C774" s="9"/>
      <c r="E774" s="9"/>
    </row>
    <row r="775" spans="3:5">
      <c r="C775" s="9"/>
      <c r="E775" s="9"/>
    </row>
    <row r="776" spans="3:5">
      <c r="C776" s="9"/>
      <c r="E776" s="9"/>
    </row>
    <row r="777" spans="3:5">
      <c r="C777" s="9"/>
      <c r="E777" s="9"/>
    </row>
    <row r="778" spans="3:5">
      <c r="C778" s="9"/>
      <c r="E778" s="9"/>
    </row>
    <row r="779" spans="3:5">
      <c r="C779" s="9"/>
      <c r="E779" s="9"/>
    </row>
    <row r="780" spans="3:5">
      <c r="C780" s="9"/>
      <c r="E780" s="9"/>
    </row>
    <row r="781" spans="3:5">
      <c r="C781" s="9"/>
      <c r="E781" s="9"/>
    </row>
    <row r="782" spans="3:5">
      <c r="C782" s="9"/>
      <c r="E782" s="9"/>
    </row>
    <row r="783" spans="3:5">
      <c r="C783" s="9"/>
      <c r="E783" s="9"/>
    </row>
    <row r="784" spans="3:5">
      <c r="C784" s="9"/>
      <c r="E784" s="9"/>
    </row>
    <row r="785" spans="3:5">
      <c r="C785" s="9"/>
      <c r="E785" s="9"/>
    </row>
    <row r="786" spans="3:5">
      <c r="C786" s="9"/>
      <c r="E786" s="9"/>
    </row>
    <row r="787" spans="3:5">
      <c r="C787" s="9"/>
      <c r="E787" s="9"/>
    </row>
    <row r="788" spans="3:5">
      <c r="C788" s="9"/>
      <c r="E788" s="9"/>
    </row>
    <row r="789" spans="3:5">
      <c r="C789" s="9"/>
      <c r="E789" s="9"/>
    </row>
    <row r="790" spans="3:5">
      <c r="C790" s="9"/>
      <c r="E790" s="9"/>
    </row>
    <row r="791" spans="3:5">
      <c r="C791" s="9"/>
      <c r="E791" s="9"/>
    </row>
    <row r="792" spans="3:5">
      <c r="C792" s="9"/>
      <c r="E792" s="9"/>
    </row>
    <row r="793" spans="3:5">
      <c r="C793" s="9"/>
      <c r="E793" s="9"/>
    </row>
    <row r="794" spans="3:5">
      <c r="C794" s="9"/>
      <c r="E794" s="9"/>
    </row>
    <row r="795" spans="3:5">
      <c r="C795" s="9"/>
      <c r="E795" s="9"/>
    </row>
    <row r="796" spans="3:5">
      <c r="C796" s="9"/>
      <c r="E796" s="9"/>
    </row>
    <row r="797" spans="3:5">
      <c r="C797" s="9"/>
      <c r="E797" s="9"/>
    </row>
    <row r="798" spans="3:5">
      <c r="C798" s="9"/>
      <c r="E798" s="9"/>
    </row>
    <row r="799" spans="3:5">
      <c r="C799" s="9"/>
      <c r="E799" s="9"/>
    </row>
    <row r="800" spans="3:5">
      <c r="C800" s="9"/>
      <c r="E800" s="9"/>
    </row>
    <row r="801" spans="3:5">
      <c r="C801" s="9"/>
      <c r="E801" s="9"/>
    </row>
    <row r="802" spans="3:5">
      <c r="C802" s="9"/>
      <c r="E802" s="9"/>
    </row>
    <row r="803" spans="3:5">
      <c r="C803" s="9"/>
      <c r="E803" s="9"/>
    </row>
    <row r="804" spans="3:5">
      <c r="C804" s="9"/>
      <c r="E804" s="9"/>
    </row>
    <row r="805" spans="3:5">
      <c r="C805" s="9"/>
      <c r="E805" s="9"/>
    </row>
    <row r="806" spans="3:5">
      <c r="C806" s="9"/>
      <c r="E806" s="9"/>
    </row>
    <row r="807" spans="3:5">
      <c r="C807" s="9"/>
      <c r="E807" s="9"/>
    </row>
    <row r="808" spans="3:5">
      <c r="C808" s="9"/>
      <c r="E808" s="9"/>
    </row>
    <row r="809" spans="3:5">
      <c r="C809" s="9"/>
      <c r="E809" s="9"/>
    </row>
    <row r="810" spans="3:5">
      <c r="C810" s="9"/>
      <c r="E810" s="9"/>
    </row>
    <row r="811" spans="3:5">
      <c r="C811" s="9"/>
      <c r="E811" s="9"/>
    </row>
    <row r="812" spans="3:5">
      <c r="C812" s="9"/>
      <c r="E812" s="9"/>
    </row>
    <row r="813" spans="3:5">
      <c r="C813" s="9"/>
      <c r="E813" s="9"/>
    </row>
    <row r="814" spans="3:5">
      <c r="C814" s="9"/>
      <c r="E814" s="9"/>
    </row>
    <row r="815" spans="3:5">
      <c r="C815" s="9"/>
      <c r="E815" s="9"/>
    </row>
    <row r="816" spans="3:5">
      <c r="C816" s="9"/>
      <c r="E816" s="9"/>
    </row>
    <row r="817" spans="3:5">
      <c r="C817" s="9"/>
      <c r="E817" s="9"/>
    </row>
    <row r="818" spans="3:5">
      <c r="C818" s="9"/>
      <c r="E818" s="9"/>
    </row>
    <row r="819" spans="3:5">
      <c r="C819" s="9"/>
      <c r="E819" s="9"/>
    </row>
    <row r="820" spans="3:5">
      <c r="C820" s="9"/>
      <c r="E820" s="9"/>
    </row>
    <row r="821" spans="3:5">
      <c r="C821" s="9"/>
      <c r="E821" s="9"/>
    </row>
    <row r="822" spans="3:5">
      <c r="C822" s="9"/>
      <c r="E822" s="9"/>
    </row>
    <row r="823" spans="3:5">
      <c r="C823" s="9"/>
      <c r="E823" s="9"/>
    </row>
    <row r="824" spans="3:5">
      <c r="C824" s="9"/>
      <c r="E824" s="9"/>
    </row>
    <row r="825" spans="3:5">
      <c r="C825" s="9"/>
      <c r="E825" s="9"/>
    </row>
    <row r="826" spans="3:5">
      <c r="C826" s="9"/>
      <c r="E826" s="9"/>
    </row>
    <row r="827" spans="3:5">
      <c r="C827" s="9"/>
      <c r="E827" s="9"/>
    </row>
    <row r="828" spans="3:5">
      <c r="C828" s="9"/>
      <c r="E828" s="9"/>
    </row>
    <row r="829" spans="3:5">
      <c r="C829" s="9"/>
      <c r="E829" s="9"/>
    </row>
    <row r="830" spans="3:5">
      <c r="C830" s="9"/>
      <c r="E830" s="9"/>
    </row>
    <row r="831" spans="3:5">
      <c r="C831" s="9"/>
      <c r="E831" s="9"/>
    </row>
    <row r="832" spans="3:5">
      <c r="C832" s="9"/>
      <c r="E832" s="9"/>
    </row>
    <row r="833" spans="3:5">
      <c r="C833" s="9"/>
      <c r="E833" s="9"/>
    </row>
    <row r="834" spans="3:5">
      <c r="C834" s="9"/>
      <c r="E834" s="9"/>
    </row>
    <row r="835" spans="3:5">
      <c r="C835" s="9"/>
      <c r="E835" s="9"/>
    </row>
    <row r="836" spans="3:5">
      <c r="C836" s="9"/>
      <c r="E836" s="9"/>
    </row>
    <row r="837" spans="3:5">
      <c r="C837" s="9"/>
      <c r="E837" s="9"/>
    </row>
    <row r="838" spans="3:5">
      <c r="C838" s="9"/>
      <c r="E838" s="9"/>
    </row>
    <row r="839" spans="3:5">
      <c r="C839" s="9"/>
      <c r="E839" s="9"/>
    </row>
    <row r="840" spans="3:5">
      <c r="C840" s="9"/>
      <c r="E840" s="9"/>
    </row>
    <row r="841" spans="3:5">
      <c r="C841" s="9"/>
      <c r="E841" s="9"/>
    </row>
    <row r="842" spans="3:5">
      <c r="C842" s="9"/>
      <c r="E842" s="9"/>
    </row>
    <row r="843" spans="3:5">
      <c r="C843" s="9"/>
      <c r="E843" s="9"/>
    </row>
    <row r="844" spans="3:5">
      <c r="C844" s="9"/>
      <c r="E844" s="9"/>
    </row>
    <row r="845" spans="3:5">
      <c r="C845" s="9"/>
      <c r="E845" s="9"/>
    </row>
    <row r="846" spans="3:5">
      <c r="C846" s="9"/>
      <c r="E846" s="9"/>
    </row>
    <row r="847" spans="3:5">
      <c r="C847" s="9"/>
      <c r="E847" s="9"/>
    </row>
    <row r="848" spans="3:5">
      <c r="C848" s="9"/>
      <c r="E848" s="9"/>
    </row>
    <row r="849" spans="3:5">
      <c r="C849" s="9"/>
      <c r="E849" s="9"/>
    </row>
    <row r="850" spans="3:5">
      <c r="C850" s="9"/>
      <c r="E850" s="9"/>
    </row>
    <row r="851" spans="3:5">
      <c r="C851" s="9"/>
      <c r="E851" s="9"/>
    </row>
    <row r="852" spans="3:5">
      <c r="C852" s="9"/>
      <c r="E852" s="9"/>
    </row>
    <row r="853" spans="3:5">
      <c r="C853" s="9"/>
      <c r="E853" s="9"/>
    </row>
    <row r="854" spans="3:5">
      <c r="C854" s="9"/>
      <c r="E854" s="9"/>
    </row>
    <row r="855" spans="3:5">
      <c r="C855" s="9"/>
      <c r="E855" s="9"/>
    </row>
    <row r="856" spans="3:5">
      <c r="C856" s="9"/>
      <c r="E856" s="9"/>
    </row>
    <row r="857" spans="3:5">
      <c r="C857" s="9"/>
      <c r="E857" s="9"/>
    </row>
    <row r="858" spans="3:5">
      <c r="C858" s="9"/>
      <c r="E858" s="9"/>
    </row>
    <row r="859" spans="3:5">
      <c r="C859" s="9"/>
      <c r="E859" s="9"/>
    </row>
    <row r="860" spans="3:5">
      <c r="C860" s="9"/>
      <c r="E860" s="9"/>
    </row>
    <row r="861" spans="3:5">
      <c r="C861" s="9"/>
      <c r="E861" s="9"/>
    </row>
    <row r="862" spans="3:5">
      <c r="C862" s="9"/>
      <c r="E862" s="9"/>
    </row>
    <row r="863" spans="3:5">
      <c r="C863" s="9"/>
      <c r="E863" s="9"/>
    </row>
    <row r="864" spans="3:5">
      <c r="C864" s="9"/>
      <c r="E864" s="9"/>
    </row>
    <row r="865" spans="3:5">
      <c r="C865" s="9"/>
      <c r="E865" s="9"/>
    </row>
    <row r="866" spans="3:5">
      <c r="C866" s="9"/>
      <c r="E866" s="9"/>
    </row>
    <row r="867" spans="3:5">
      <c r="C867" s="9"/>
      <c r="E867" s="9"/>
    </row>
    <row r="868" spans="3:5">
      <c r="C868" s="9"/>
      <c r="E868" s="9"/>
    </row>
    <row r="869" spans="3:5">
      <c r="C869" s="9"/>
      <c r="E869" s="9"/>
    </row>
    <row r="870" spans="3:5">
      <c r="C870" s="9"/>
      <c r="E870" s="9"/>
    </row>
    <row r="871" spans="3:5">
      <c r="C871" s="9"/>
      <c r="E871" s="9"/>
    </row>
    <row r="872" spans="3:5">
      <c r="C872" s="9"/>
      <c r="E872" s="9"/>
    </row>
    <row r="873" spans="3:5">
      <c r="C873" s="9"/>
      <c r="E873" s="9"/>
    </row>
    <row r="874" spans="3:5">
      <c r="C874" s="9"/>
      <c r="E874" s="9"/>
    </row>
    <row r="875" spans="3:5">
      <c r="C875" s="9"/>
      <c r="E875" s="9"/>
    </row>
    <row r="876" spans="3:5">
      <c r="C876" s="9"/>
      <c r="E876" s="9"/>
    </row>
    <row r="877" spans="3:5">
      <c r="C877" s="9"/>
      <c r="E877" s="9"/>
    </row>
    <row r="878" spans="3:5">
      <c r="C878" s="9"/>
      <c r="E878" s="9"/>
    </row>
    <row r="879" spans="3:5">
      <c r="C879" s="9"/>
      <c r="E879" s="9"/>
    </row>
    <row r="880" spans="3:5">
      <c r="C880" s="9"/>
      <c r="E880" s="9"/>
    </row>
    <row r="881" spans="3:5">
      <c r="C881" s="9"/>
      <c r="E881" s="9"/>
    </row>
    <row r="882" spans="3:5">
      <c r="C882" s="9"/>
      <c r="E882" s="9"/>
    </row>
    <row r="883" spans="3:5">
      <c r="C883" s="9"/>
      <c r="E883" s="9"/>
    </row>
    <row r="884" spans="3:5">
      <c r="C884" s="9"/>
      <c r="E884" s="9"/>
    </row>
    <row r="885" spans="3:5">
      <c r="C885" s="9"/>
      <c r="E885" s="9"/>
    </row>
    <row r="886" spans="3:5">
      <c r="C886" s="9"/>
      <c r="E886" s="9"/>
    </row>
    <row r="887" spans="3:5">
      <c r="C887" s="9"/>
      <c r="E887" s="9"/>
    </row>
    <row r="888" spans="3:5">
      <c r="C888" s="9"/>
      <c r="E888" s="9"/>
    </row>
    <row r="889" spans="3:5">
      <c r="C889" s="9"/>
      <c r="E889" s="9"/>
    </row>
    <row r="890" spans="3:5">
      <c r="C890" s="9"/>
      <c r="E890" s="9"/>
    </row>
    <row r="891" spans="3:5">
      <c r="C891" s="9"/>
      <c r="E891" s="9"/>
    </row>
    <row r="892" spans="3:5">
      <c r="C892" s="9"/>
      <c r="E892" s="9"/>
    </row>
    <row r="893" spans="3:5">
      <c r="C893" s="9"/>
      <c r="E893" s="9"/>
    </row>
    <row r="894" spans="3:5">
      <c r="C894" s="9"/>
      <c r="E894" s="9"/>
    </row>
    <row r="895" spans="3:5">
      <c r="C895" s="9"/>
      <c r="E895" s="9"/>
    </row>
    <row r="896" spans="3:5">
      <c r="C896" s="9"/>
      <c r="E896" s="9"/>
    </row>
    <row r="897" spans="3:5">
      <c r="C897" s="9"/>
      <c r="E897" s="9"/>
    </row>
    <row r="898" spans="3:5">
      <c r="C898" s="9"/>
      <c r="E898" s="9"/>
    </row>
    <row r="899" spans="3:5">
      <c r="C899" s="9"/>
      <c r="E899" s="9"/>
    </row>
    <row r="900" spans="3:5">
      <c r="C900" s="9"/>
      <c r="E900" s="9"/>
    </row>
    <row r="901" spans="3:5">
      <c r="C901" s="9"/>
      <c r="E901" s="9"/>
    </row>
    <row r="902" spans="3:5">
      <c r="C902" s="9"/>
      <c r="E902" s="9"/>
    </row>
    <row r="903" spans="3:5">
      <c r="C903" s="9"/>
      <c r="E903" s="9"/>
    </row>
    <row r="904" spans="3:5">
      <c r="C904" s="9"/>
      <c r="E904" s="9"/>
    </row>
    <row r="905" spans="3:5">
      <c r="C905" s="9"/>
      <c r="E905" s="9"/>
    </row>
    <row r="906" spans="3:5">
      <c r="C906" s="9"/>
      <c r="E906" s="9"/>
    </row>
    <row r="907" spans="3:5">
      <c r="C907" s="9"/>
      <c r="E907" s="9"/>
    </row>
    <row r="908" spans="3:5">
      <c r="C908" s="9"/>
      <c r="E908" s="9"/>
    </row>
    <row r="909" spans="3:5">
      <c r="C909" s="9"/>
      <c r="E909" s="9"/>
    </row>
    <row r="910" spans="3:5">
      <c r="C910" s="9"/>
      <c r="E910" s="9"/>
    </row>
    <row r="911" spans="3:5">
      <c r="C911" s="9"/>
      <c r="E911" s="9"/>
    </row>
    <row r="912" spans="3:5">
      <c r="C912" s="9"/>
      <c r="E912" s="9"/>
    </row>
    <row r="913" spans="3:5">
      <c r="C913" s="9"/>
      <c r="E913" s="9"/>
    </row>
    <row r="914" spans="3:5">
      <c r="C914" s="9"/>
      <c r="E914" s="9"/>
    </row>
    <row r="915" spans="3:5">
      <c r="C915" s="9"/>
      <c r="E915" s="9"/>
    </row>
    <row r="916" spans="3:5">
      <c r="C916" s="9"/>
      <c r="E916" s="9"/>
    </row>
    <row r="917" spans="3:5">
      <c r="C917" s="9"/>
      <c r="E917" s="9"/>
    </row>
    <row r="918" spans="3:5">
      <c r="C918" s="9"/>
      <c r="E918" s="9"/>
    </row>
    <row r="919" spans="3:5">
      <c r="C919" s="9"/>
      <c r="E919" s="9"/>
    </row>
    <row r="920" spans="3:5">
      <c r="C920" s="9"/>
      <c r="E920" s="9"/>
    </row>
    <row r="921" spans="3:5">
      <c r="C921" s="9"/>
      <c r="E921" s="9"/>
    </row>
    <row r="922" spans="3:5">
      <c r="C922" s="9"/>
      <c r="E922" s="9"/>
    </row>
    <row r="923" spans="3:5">
      <c r="C923" s="9"/>
      <c r="E923" s="9"/>
    </row>
    <row r="924" spans="3:5">
      <c r="C924" s="9"/>
      <c r="E924" s="9"/>
    </row>
    <row r="925" spans="3:5">
      <c r="C925" s="9"/>
      <c r="E925" s="9"/>
    </row>
    <row r="926" spans="3:5">
      <c r="C926" s="9"/>
      <c r="E926" s="9"/>
    </row>
    <row r="927" spans="3:5">
      <c r="C927" s="9"/>
      <c r="E927" s="9"/>
    </row>
    <row r="928" spans="3:5">
      <c r="C928" s="9"/>
      <c r="E928" s="9"/>
    </row>
    <row r="929" spans="3:5">
      <c r="C929" s="9"/>
      <c r="E929" s="9"/>
    </row>
    <row r="930" spans="3:5">
      <c r="C930" s="9"/>
      <c r="E930" s="9"/>
    </row>
    <row r="931" spans="3:5">
      <c r="C931" s="9"/>
      <c r="E931" s="9"/>
    </row>
    <row r="932" spans="3:5">
      <c r="C932" s="9"/>
      <c r="E932" s="9"/>
    </row>
    <row r="933" spans="3:5">
      <c r="C933" s="9"/>
      <c r="E933" s="9"/>
    </row>
    <row r="934" spans="3:5">
      <c r="C934" s="9"/>
      <c r="E934" s="9"/>
    </row>
    <row r="935" spans="3:5">
      <c r="C935" s="9"/>
      <c r="E935" s="9"/>
    </row>
    <row r="936" spans="3:5">
      <c r="C936" s="9"/>
      <c r="E936" s="9"/>
    </row>
    <row r="937" spans="3:5">
      <c r="C937" s="9"/>
      <c r="E937" s="9"/>
    </row>
    <row r="938" spans="3:5">
      <c r="C938" s="9"/>
      <c r="E938" s="9"/>
    </row>
    <row r="939" spans="3:5">
      <c r="C939" s="9"/>
      <c r="E939" s="9"/>
    </row>
    <row r="940" spans="3:5">
      <c r="C940" s="9"/>
      <c r="E940" s="9"/>
    </row>
    <row r="941" spans="3:5">
      <c r="C941" s="9"/>
      <c r="E941" s="9"/>
    </row>
    <row r="942" spans="3:5">
      <c r="C942" s="9"/>
      <c r="E942" s="9"/>
    </row>
    <row r="943" spans="3:5">
      <c r="C943" s="9"/>
      <c r="E943" s="9"/>
    </row>
    <row r="944" spans="3:5">
      <c r="C944" s="9"/>
      <c r="E944" s="9"/>
    </row>
    <row r="945" spans="3:5">
      <c r="C945" s="9"/>
      <c r="E945" s="9"/>
    </row>
    <row r="946" spans="3:5">
      <c r="C946" s="9"/>
      <c r="E946" s="9"/>
    </row>
    <row r="947" spans="3:5">
      <c r="C947" s="9"/>
      <c r="E947" s="9"/>
    </row>
    <row r="948" spans="3:5">
      <c r="C948" s="9"/>
      <c r="E948" s="9"/>
    </row>
    <row r="949" spans="3:5">
      <c r="C949" s="9"/>
      <c r="E949" s="9"/>
    </row>
    <row r="950" spans="3:5">
      <c r="C950" s="9"/>
      <c r="E950" s="9"/>
    </row>
    <row r="951" spans="3:5">
      <c r="C951" s="9"/>
      <c r="E951" s="9"/>
    </row>
    <row r="952" spans="3:5">
      <c r="C952" s="9"/>
      <c r="E952" s="9"/>
    </row>
    <row r="953" spans="3:5">
      <c r="C953" s="9"/>
      <c r="E953" s="9"/>
    </row>
    <row r="954" spans="3:5">
      <c r="C954" s="9"/>
      <c r="E954" s="9"/>
    </row>
    <row r="955" spans="3:5">
      <c r="C955" s="9"/>
      <c r="E955" s="9"/>
    </row>
    <row r="956" spans="3:5">
      <c r="C956" s="9"/>
      <c r="E956" s="9"/>
    </row>
    <row r="957" spans="3:5">
      <c r="C957" s="9"/>
      <c r="E957" s="9"/>
    </row>
    <row r="958" spans="3:5">
      <c r="C958" s="9"/>
      <c r="E958" s="9"/>
    </row>
    <row r="959" spans="3:5">
      <c r="C959" s="9"/>
      <c r="E959" s="9"/>
    </row>
    <row r="960" spans="3:5">
      <c r="C960" s="9"/>
      <c r="E960" s="9"/>
    </row>
    <row r="961" spans="3:5">
      <c r="C961" s="9"/>
      <c r="E961" s="9"/>
    </row>
    <row r="962" spans="3:5">
      <c r="C962" s="9"/>
      <c r="E962" s="9"/>
    </row>
    <row r="963" spans="3:5">
      <c r="C963" s="9"/>
      <c r="E963" s="9"/>
    </row>
    <row r="964" spans="3:5">
      <c r="C964" s="9"/>
      <c r="E964" s="9"/>
    </row>
    <row r="965" spans="3:5">
      <c r="C965" s="9"/>
      <c r="E965" s="9"/>
    </row>
    <row r="966" spans="3:5">
      <c r="C966" s="9"/>
      <c r="E966" s="9"/>
    </row>
    <row r="967" spans="3:5">
      <c r="C967" s="9"/>
      <c r="E967" s="9"/>
    </row>
    <row r="968" spans="3:5">
      <c r="C968" s="9"/>
      <c r="E968" s="9"/>
    </row>
    <row r="969" spans="3:5">
      <c r="C969" s="9"/>
      <c r="E969" s="9"/>
    </row>
    <row r="970" spans="3:5">
      <c r="C970" s="9"/>
      <c r="E970" s="9"/>
    </row>
    <row r="971" spans="3:5">
      <c r="C971" s="9"/>
      <c r="E971" s="9"/>
    </row>
    <row r="972" spans="3:5">
      <c r="C972" s="9"/>
      <c r="E972" s="9"/>
    </row>
    <row r="973" spans="3:5">
      <c r="C973" s="9"/>
      <c r="E973" s="9"/>
    </row>
    <row r="974" spans="3:5">
      <c r="C974" s="9"/>
      <c r="E974" s="9"/>
    </row>
    <row r="975" spans="3:5">
      <c r="C975" s="9"/>
      <c r="E975" s="9"/>
    </row>
    <row r="976" spans="3:5">
      <c r="C976" s="9"/>
      <c r="E976" s="9"/>
    </row>
    <row r="977" spans="3:5">
      <c r="C977" s="9"/>
      <c r="E977" s="9"/>
    </row>
    <row r="978" spans="3:5">
      <c r="C978" s="9"/>
      <c r="E978" s="9"/>
    </row>
    <row r="979" spans="3:5">
      <c r="C979" s="9"/>
      <c r="E979" s="9"/>
    </row>
    <row r="980" spans="3:5">
      <c r="C980" s="9"/>
      <c r="E980" s="9"/>
    </row>
    <row r="981" spans="3:5">
      <c r="C981" s="9"/>
      <c r="E981" s="9"/>
    </row>
    <row r="982" spans="3:5">
      <c r="C982" s="9"/>
      <c r="E982" s="9"/>
    </row>
    <row r="983" spans="3:5">
      <c r="C983" s="9"/>
      <c r="E983" s="9"/>
    </row>
    <row r="984" spans="3:5">
      <c r="C984" s="9"/>
      <c r="E984" s="9"/>
    </row>
    <row r="985" spans="3:5">
      <c r="C985" s="9"/>
      <c r="E985" s="9"/>
    </row>
    <row r="986" spans="3:5">
      <c r="C986" s="9"/>
      <c r="E986" s="9"/>
    </row>
    <row r="987" spans="3:5">
      <c r="C987" s="9"/>
      <c r="E987" s="9"/>
    </row>
    <row r="988" spans="3:5">
      <c r="C988" s="9"/>
      <c r="E988" s="9"/>
    </row>
    <row r="989" spans="3:5">
      <c r="C989" s="9"/>
      <c r="E989" s="9"/>
    </row>
    <row r="990" spans="3:5">
      <c r="C990" s="9"/>
      <c r="E990" s="9"/>
    </row>
    <row r="991" spans="3:5">
      <c r="C991" s="9"/>
      <c r="E991" s="9"/>
    </row>
    <row r="992" spans="3:5">
      <c r="C992" s="9"/>
      <c r="E992" s="9"/>
    </row>
    <row r="993" spans="3:5">
      <c r="C993" s="9"/>
      <c r="E993" s="9"/>
    </row>
    <row r="994" spans="3:5">
      <c r="C994" s="9"/>
      <c r="E994" s="9"/>
    </row>
    <row r="995" spans="3:5">
      <c r="C995" s="9"/>
      <c r="E995" s="9"/>
    </row>
    <row r="996" spans="3:5">
      <c r="C996" s="9"/>
      <c r="E996" s="9"/>
    </row>
    <row r="997" spans="3:5">
      <c r="C997" s="9"/>
      <c r="E997" s="9"/>
    </row>
    <row r="998" spans="3:5">
      <c r="C998" s="9"/>
      <c r="E998" s="9"/>
    </row>
    <row r="999" spans="3:5">
      <c r="C999" s="9"/>
      <c r="E999" s="9"/>
    </row>
    <row r="1000" spans="3:5">
      <c r="C1000" s="9"/>
      <c r="E1000" s="9"/>
    </row>
  </sheetData>
  <pageMargins left="0" right="0" top="0" bottom="0" header="0" footer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1000"/>
  <sheetViews>
    <sheetView workbookViewId="0"/>
  </sheetViews>
  <sheetFormatPr defaultColWidth="12.5703125" defaultRowHeight="15.75" customHeight="1"/>
  <cols>
    <col min="1" max="1" width="24.42578125" customWidth="1"/>
    <col min="2" max="2" width="44.28515625" customWidth="1"/>
    <col min="3" max="3" width="28.28515625" customWidth="1"/>
    <col min="4" max="4" width="8.42578125" customWidth="1"/>
    <col min="5" max="5" width="64.42578125" customWidth="1"/>
    <col min="6" max="6" width="8.42578125" customWidth="1"/>
    <col min="7" max="7" width="13.28515625" customWidth="1"/>
    <col min="8" max="8" width="9.42578125" customWidth="1"/>
  </cols>
  <sheetData>
    <row r="1" spans="1:8">
      <c r="A1" s="1"/>
      <c r="B1" s="2"/>
      <c r="C1" s="3"/>
      <c r="D1" s="2"/>
      <c r="E1" s="3"/>
      <c r="F1" s="2"/>
      <c r="G1" s="2"/>
      <c r="H1" s="2"/>
    </row>
    <row r="2" spans="1:8">
      <c r="A2" s="4" t="s">
        <v>1</v>
      </c>
      <c r="B2" s="2"/>
      <c r="C2" s="3"/>
      <c r="D2" s="2"/>
      <c r="E2" s="3"/>
      <c r="F2" s="2"/>
      <c r="G2" s="2"/>
      <c r="H2" s="2"/>
    </row>
    <row r="3" spans="1:8">
      <c r="A3" s="5">
        <f ca="1">NOW()</f>
        <v>46118.620961574074</v>
      </c>
      <c r="B3" s="2"/>
      <c r="C3" s="3"/>
      <c r="D3" s="2"/>
      <c r="E3" s="3"/>
      <c r="F3" s="2"/>
      <c r="G3" s="2"/>
      <c r="H3" s="2"/>
    </row>
    <row r="4" spans="1:8">
      <c r="A4" s="4" t="s">
        <v>2</v>
      </c>
      <c r="B4" s="2"/>
      <c r="C4" s="3"/>
      <c r="D4" s="2"/>
      <c r="E4" s="3"/>
      <c r="F4" s="2"/>
      <c r="G4" s="2"/>
      <c r="H4" s="2"/>
    </row>
    <row r="5" spans="1:8">
      <c r="A5" s="4" t="s">
        <v>3</v>
      </c>
      <c r="B5" s="2"/>
      <c r="C5" s="3"/>
      <c r="D5" s="2"/>
      <c r="E5" s="3"/>
      <c r="F5" s="2"/>
      <c r="G5" s="2"/>
      <c r="H5" s="2"/>
    </row>
    <row r="6" spans="1:8">
      <c r="A6" s="6" t="s">
        <v>4</v>
      </c>
      <c r="B6" s="6" t="s">
        <v>5</v>
      </c>
      <c r="C6" s="7" t="s">
        <v>6</v>
      </c>
      <c r="D6" s="6" t="s">
        <v>7</v>
      </c>
      <c r="E6" s="7" t="s">
        <v>8</v>
      </c>
      <c r="F6" s="6" t="s">
        <v>9</v>
      </c>
      <c r="G6" s="11" t="s">
        <v>10</v>
      </c>
      <c r="H6" s="11" t="s">
        <v>11</v>
      </c>
    </row>
    <row r="7" spans="1:8">
      <c r="A7" s="8" t="str">
        <f ca="1">IFERROR(__xludf.DUMMYFUNCTION("FILTER(IMPORTRANGE(""https://docs.google.com/spreadsheets/d/1sJXqJAqoqS15wvfnSlYqAhIS5H8gfmcPrvi7oU2Wans/edit#gid=806267711"",""Sheet1!A:H""),INDEX(IMPORTRANGE(""https://docs.google.com/spreadsheets/d/1sJXqJAqoqS15wvfnSlYqAhIS5H8gfmcPrvi7oU2Wans/edit#gid="&amp;"806267711"",""Sheet1!A:H""),0,6)=""GBP"")"),"AS-BASE-PV")</f>
        <v>AS-BASE-PV</v>
      </c>
      <c r="B7" s="8" t="str">
        <f ca="1">IFERROR(__xludf.DUMMYFUNCTION("""COMPUTED_VALUE"""),"Annual Plan AS-BASE-PV")</f>
        <v>Annual Plan AS-BASE-PV</v>
      </c>
      <c r="C7" s="9" t="str">
        <f ca="1">IFERROR(__xludf.DUMMYFUNCTION("""COMPUTED_VALUE"""),"Platform")</f>
        <v>Platform</v>
      </c>
      <c r="D7" s="8" t="str">
        <f ca="1">IFERROR(__xludf.DUMMYFUNCTION("""COMPUTED_VALUE"""),"Recurring")</f>
        <v>Recurring</v>
      </c>
      <c r="E7" s="9" t="str">
        <f ca="1">IFERROR(__xludf.DUMMYFUNCTION("""COMPUTED_VALUE"""),"Appspace Base Private Cloud Subscription. Provides cloud access to the base Appspace platform for use with compatible a la carte add-ons.")</f>
        <v>Appspace Base Private Cloud Subscription. Provides cloud access to the base Appspace platform for use with compatible a la carte add-ons.</v>
      </c>
      <c r="F7" s="10" t="str">
        <f ca="1">IFERROR(__xludf.DUMMYFUNCTION("""COMPUTED_VALUE"""),"GBP")</f>
        <v>GBP</v>
      </c>
      <c r="G7" s="10">
        <f ca="1">IFERROR(__xludf.DUMMYFUNCTION("""COMPUTED_VALUE"""),629)</f>
        <v>629</v>
      </c>
      <c r="H7" s="10">
        <f ca="1">IFERROR(__xludf.DUMMYFUNCTION("""COMPUTED_VALUE"""),7548)</f>
        <v>7548</v>
      </c>
    </row>
    <row r="8" spans="1:8">
      <c r="A8" s="8" t="str">
        <f ca="1">IFERROR(__xludf.DUMMYFUNCTION("""COMPUTED_VALUE"""),"AS-BW-GB")</f>
        <v>AS-BW-GB</v>
      </c>
      <c r="B8" s="8" t="str">
        <f ca="1">IFERROR(__xludf.DUMMYFUNCTION("""COMPUTED_VALUE"""),"Annual Plan AS-BW-GB")</f>
        <v>Annual Plan AS-BW-GB</v>
      </c>
      <c r="C8" s="9" t="str">
        <f ca="1">IFERROR(__xludf.DUMMYFUNCTION("""COMPUTED_VALUE"""),"Bandwidth")</f>
        <v>Bandwidth</v>
      </c>
      <c r="D8" s="8" t="str">
        <f ca="1">IFERROR(__xludf.DUMMYFUNCTION("""COMPUTED_VALUE"""),"Recurring")</f>
        <v>Recurring</v>
      </c>
      <c r="E8" s="9" t="str">
        <f ca="1">IFERROR(__xludf.DUMMYFUNCTION("""COMPUTED_VALUE"""),"Monthly bandwidth allocation (1 GB/month)")</f>
        <v>Monthly bandwidth allocation (1 GB/month)</v>
      </c>
      <c r="F8" s="10" t="str">
        <f ca="1">IFERROR(__xludf.DUMMYFUNCTION("""COMPUTED_VALUE"""),"GBP")</f>
        <v>GBP</v>
      </c>
      <c r="G8" s="10">
        <f ca="1">IFERROR(__xludf.DUMMYFUNCTION("""COMPUTED_VALUE"""),0.13)</f>
        <v>0.13</v>
      </c>
      <c r="H8" s="10">
        <f ca="1">IFERROR(__xludf.DUMMYFUNCTION("""COMPUTED_VALUE"""),1.56)</f>
        <v>1.56</v>
      </c>
    </row>
    <row r="9" spans="1:8">
      <c r="A9" s="8" t="str">
        <f ca="1">IFERROR(__xludf.DUMMYFUNCTION("""COMPUTED_VALUE"""),"AS-BW-GB-1000")</f>
        <v>AS-BW-GB-1000</v>
      </c>
      <c r="B9" s="8" t="str">
        <f ca="1">IFERROR(__xludf.DUMMYFUNCTION("""COMPUTED_VALUE"""),"Annual Plan AS-BW-GB-1000")</f>
        <v>Annual Plan AS-BW-GB-1000</v>
      </c>
      <c r="C9" s="9" t="str">
        <f ca="1">IFERROR(__xludf.DUMMYFUNCTION("""COMPUTED_VALUE"""),"Bandwidth")</f>
        <v>Bandwidth</v>
      </c>
      <c r="D9" s="8" t="str">
        <f ca="1">IFERROR(__xludf.DUMMYFUNCTION("""COMPUTED_VALUE"""),"Recurring")</f>
        <v>Recurring</v>
      </c>
      <c r="E9" s="9" t="str">
        <f ca="1">IFERROR(__xludf.DUMMYFUNCTION("""COMPUTED_VALUE"""),"Monthly bandwidth allocation (1,000 GB/month)")</f>
        <v>Monthly bandwidth allocation (1,000 GB/month)</v>
      </c>
      <c r="F9" s="10" t="str">
        <f ca="1">IFERROR(__xludf.DUMMYFUNCTION("""COMPUTED_VALUE"""),"GBP")</f>
        <v>GBP</v>
      </c>
      <c r="G9" s="10">
        <f ca="1">IFERROR(__xludf.DUMMYFUNCTION("""COMPUTED_VALUE"""),109)</f>
        <v>109</v>
      </c>
      <c r="H9" s="10">
        <f ca="1">IFERROR(__xludf.DUMMYFUNCTION("""COMPUTED_VALUE"""),1308)</f>
        <v>1308</v>
      </c>
    </row>
    <row r="10" spans="1:8">
      <c r="A10" s="8" t="str">
        <f ca="1">IFERROR(__xludf.DUMMYFUNCTION("""COMPUTED_VALUE"""),"AS-BW-GB-500")</f>
        <v>AS-BW-GB-500</v>
      </c>
      <c r="B10" s="8" t="str">
        <f ca="1">IFERROR(__xludf.DUMMYFUNCTION("""COMPUTED_VALUE"""),"Annual Plan AS-BW-GB-500")</f>
        <v>Annual Plan AS-BW-GB-500</v>
      </c>
      <c r="C10" s="9" t="str">
        <f ca="1">IFERROR(__xludf.DUMMYFUNCTION("""COMPUTED_VALUE"""),"Bandwidth")</f>
        <v>Bandwidth</v>
      </c>
      <c r="D10" s="8" t="str">
        <f ca="1">IFERROR(__xludf.DUMMYFUNCTION("""COMPUTED_VALUE"""),"Recurring")</f>
        <v>Recurring</v>
      </c>
      <c r="E10" s="9" t="str">
        <f ca="1">IFERROR(__xludf.DUMMYFUNCTION("""COMPUTED_VALUE"""),"Monthly bandwidth allocation (500 GB/month)")</f>
        <v>Monthly bandwidth allocation (500 GB/month)</v>
      </c>
      <c r="F10" s="10" t="str">
        <f ca="1">IFERROR(__xludf.DUMMYFUNCTION("""COMPUTED_VALUE"""),"GBP")</f>
        <v>GBP</v>
      </c>
      <c r="G10" s="10">
        <f ca="1">IFERROR(__xludf.DUMMYFUNCTION("""COMPUTED_VALUE"""),58.66)</f>
        <v>58.66</v>
      </c>
      <c r="H10" s="10">
        <f ca="1">IFERROR(__xludf.DUMMYFUNCTION("""COMPUTED_VALUE"""),703.92)</f>
        <v>703.92</v>
      </c>
    </row>
    <row r="11" spans="1:8">
      <c r="A11" s="8" t="str">
        <f ca="1">IFERROR(__xludf.DUMMYFUNCTION("""COMPUTED_VALUE"""),"AS-EXPRESS-B-CL")</f>
        <v>AS-EXPRESS-B-CL</v>
      </c>
      <c r="B11" s="8" t="str">
        <f ca="1">IFERROR(__xludf.DUMMYFUNCTION("""COMPUTED_VALUE"""),"Annual Plan AS-EXPRESS-B-CL")</f>
        <v>Annual Plan AS-EXPRESS-B-CL</v>
      </c>
      <c r="C11" s="9" t="str">
        <f ca="1">IFERROR(__xludf.DUMMYFUNCTION("""COMPUTED_VALUE"""),"Platform")</f>
        <v>Platform</v>
      </c>
      <c r="D11" s="8" t="str">
        <f ca="1">IFERROR(__xludf.DUMMYFUNCTION("""COMPUTED_VALUE"""),"Recurring")</f>
        <v>Recurring</v>
      </c>
      <c r="E11" s="9" t="str">
        <f ca="1">IFERROR(__xludf.DUMMYFUNCTION("""COMPUTED_VALUE"""),"Appspace Express Cloud Subscription. Appspace Cloud access to the Appspace Express features for 25 devices, Advanced Support, 25 GB cloud storage, and 25 GB/month cloud bandwidth.")</f>
        <v>Appspace Express Cloud Subscription. Appspace Cloud access to the Appspace Express features for 25 devices, Advanced Support, 25 GB cloud storage, and 25 GB/month cloud bandwidth.</v>
      </c>
      <c r="F11" s="10" t="str">
        <f ca="1">IFERROR(__xludf.DUMMYFUNCTION("""COMPUTED_VALUE"""),"GBP")</f>
        <v>GBP</v>
      </c>
      <c r="G11" s="10">
        <f ca="1">IFERROR(__xludf.DUMMYFUNCTION("""COMPUTED_VALUE"""),930)</f>
        <v>930</v>
      </c>
      <c r="H11" s="10">
        <f ca="1">IFERROR(__xludf.DUMMYFUNCTION("""COMPUTED_VALUE"""),11160)</f>
        <v>11160</v>
      </c>
    </row>
    <row r="12" spans="1:8">
      <c r="A12" s="8" t="str">
        <f ca="1">IFERROR(__xludf.DUMMYFUNCTION("""COMPUTED_VALUE"""),"AS-ID-DVC-B-CL-1")</f>
        <v>AS-ID-DVC-B-CL-1</v>
      </c>
      <c r="B12" s="8" t="str">
        <f ca="1">IFERROR(__xludf.DUMMYFUNCTION("""COMPUTED_VALUE"""),"Annual Plan AS-ID-DVC-B-CL-1")</f>
        <v>Annual Plan AS-ID-DVC-B-CL-1</v>
      </c>
      <c r="C12" s="9" t="str">
        <f ca="1">IFERROR(__xludf.DUMMYFUNCTION("""COMPUTED_VALUE"""),"Device ID")</f>
        <v>Device ID</v>
      </c>
      <c r="D12" s="8" t="str">
        <f ca="1">IFERROR(__xludf.DUMMYFUNCTION("""COMPUTED_VALUE"""),"Recurring")</f>
        <v>Recurring</v>
      </c>
      <c r="E12" s="9" t="str">
        <f ca="1">IFERROR(__xludf.DUMMYFUNCTION("""COMPUTED_VALUE"""),"Single additional Device ID (for use with an Express-B cloud subscription)")</f>
        <v>Single additional Device ID (for use with an Express-B cloud subscription)</v>
      </c>
      <c r="F12" s="10" t="str">
        <f ca="1">IFERROR(__xludf.DUMMYFUNCTION("""COMPUTED_VALUE"""),"GBP")</f>
        <v>GBP</v>
      </c>
      <c r="G12" s="10">
        <f ca="1">IFERROR(__xludf.DUMMYFUNCTION("""COMPUTED_VALUE"""),47.77)</f>
        <v>47.77</v>
      </c>
      <c r="H12" s="10">
        <f ca="1">IFERROR(__xludf.DUMMYFUNCTION("""COMPUTED_VALUE"""),573.24)</f>
        <v>573.24</v>
      </c>
    </row>
    <row r="13" spans="1:8">
      <c r="A13" s="8" t="str">
        <f ca="1">IFERROR(__xludf.DUMMYFUNCTION("""COMPUTED_VALUE"""),"AS-ID-DVC-CL-1")</f>
        <v>AS-ID-DVC-CL-1</v>
      </c>
      <c r="B13" s="8" t="str">
        <f ca="1">IFERROR(__xludf.DUMMYFUNCTION("""COMPUTED_VALUE"""),"Annual Plan AS-ID-DVC-CL-1")</f>
        <v>Annual Plan AS-ID-DVC-CL-1</v>
      </c>
      <c r="C13" s="9" t="str">
        <f ca="1">IFERROR(__xludf.DUMMYFUNCTION("""COMPUTED_VALUE"""),"Device ID")</f>
        <v>Device ID</v>
      </c>
      <c r="D13" s="8" t="str">
        <f ca="1">IFERROR(__xludf.DUMMYFUNCTION("""COMPUTED_VALUE"""),"Recurring")</f>
        <v>Recurring</v>
      </c>
      <c r="E13" s="9" t="str">
        <f ca="1">IFERROR(__xludf.DUMMYFUNCTION("""COMPUTED_VALUE"""),"Single additional Device ID (for use with a cloud subscription)")</f>
        <v>Single additional Device ID (for use with a cloud subscription)</v>
      </c>
      <c r="F13" s="10" t="str">
        <f ca="1">IFERROR(__xludf.DUMMYFUNCTION("""COMPUTED_VALUE"""),"GBP")</f>
        <v>GBP</v>
      </c>
      <c r="G13" s="8">
        <f ca="1">IFERROR(__xludf.DUMMYFUNCTION("""COMPUTED_VALUE"""),17.18)</f>
        <v>17.18</v>
      </c>
      <c r="H13" s="8">
        <f ca="1">IFERROR(__xludf.DUMMYFUNCTION("""COMPUTED_VALUE"""),206.16)</f>
        <v>206.16</v>
      </c>
    </row>
    <row r="14" spans="1:8">
      <c r="A14" s="8" t="str">
        <f ca="1">IFERROR(__xludf.DUMMYFUNCTION("""COMPUTED_VALUE"""),"AS-ID-DVC-F-CL-1")</f>
        <v>AS-ID-DVC-F-CL-1</v>
      </c>
      <c r="B14" s="8" t="str">
        <f ca="1">IFERROR(__xludf.DUMMYFUNCTION("""COMPUTED_VALUE"""),"Annual Plan AS-ID-DVC-F-CL-1")</f>
        <v>Annual Plan AS-ID-DVC-F-CL-1</v>
      </c>
      <c r="C14" s="9" t="str">
        <f ca="1">IFERROR(__xludf.DUMMYFUNCTION("""COMPUTED_VALUE"""),"Device ID")</f>
        <v>Device ID</v>
      </c>
      <c r="D14" s="8" t="str">
        <f ca="1">IFERROR(__xludf.DUMMYFUNCTION("""COMPUTED_VALUE"""),"Recurring")</f>
        <v>Recurring</v>
      </c>
      <c r="E14" s="9" t="str">
        <f ca="1">IFERROR(__xludf.DUMMYFUNCTION("""COMPUTED_VALUE"""),"Single additional Device ID (for use with an Omni-F cloud subscription)")</f>
        <v>Single additional Device ID (for use with an Omni-F cloud subscription)</v>
      </c>
      <c r="F14" s="10" t="str">
        <f ca="1">IFERROR(__xludf.DUMMYFUNCTION("""COMPUTED_VALUE"""),"GBP")</f>
        <v>GBP</v>
      </c>
      <c r="G14" s="10">
        <f ca="1">IFERROR(__xludf.DUMMYFUNCTION("""COMPUTED_VALUE"""),6.08)</f>
        <v>6.08</v>
      </c>
      <c r="H14" s="10">
        <f ca="1">IFERROR(__xludf.DUMMYFUNCTION("""COMPUTED_VALUE"""),72.96)</f>
        <v>72.959999999999994</v>
      </c>
    </row>
    <row r="15" spans="1:8">
      <c r="A15" s="8" t="str">
        <f ca="1">IFERROR(__xludf.DUMMYFUNCTION("""COMPUTED_VALUE"""),"AS-ID-DVC-F-OP-1")</f>
        <v>AS-ID-DVC-F-OP-1</v>
      </c>
      <c r="B15" s="8" t="str">
        <f ca="1">IFERROR(__xludf.DUMMYFUNCTION("""COMPUTED_VALUE"""),"Annual Plan AS-ID-DVC-F-OP-1")</f>
        <v>Annual Plan AS-ID-DVC-F-OP-1</v>
      </c>
      <c r="C15" s="9" t="str">
        <f ca="1">IFERROR(__xludf.DUMMYFUNCTION("""COMPUTED_VALUE"""),"Device ID")</f>
        <v>Device ID</v>
      </c>
      <c r="D15" s="8" t="str">
        <f ca="1">IFERROR(__xludf.DUMMYFUNCTION("""COMPUTED_VALUE"""),"Recurring")</f>
        <v>Recurring</v>
      </c>
      <c r="E15" s="9" t="str">
        <f ca="1">IFERROR(__xludf.DUMMYFUNCTION("""COMPUTED_VALUE"""),"Single additional Device ID (for use with an Omni-F on-prem subscription)")</f>
        <v>Single additional Device ID (for use with an Omni-F on-prem subscription)</v>
      </c>
      <c r="F15" s="10" t="str">
        <f ca="1">IFERROR(__xludf.DUMMYFUNCTION("""COMPUTED_VALUE"""),"GBP")</f>
        <v>GBP</v>
      </c>
      <c r="G15" s="10">
        <f ca="1">IFERROR(__xludf.DUMMYFUNCTION("""COMPUTED_VALUE"""),12.15)</f>
        <v>12.15</v>
      </c>
      <c r="H15" s="10">
        <f ca="1">IFERROR(__xludf.DUMMYFUNCTION("""COMPUTED_VALUE"""),145.8)</f>
        <v>145.80000000000001</v>
      </c>
    </row>
    <row r="16" spans="1:8">
      <c r="A16" s="8" t="str">
        <f ca="1">IFERROR(__xludf.DUMMYFUNCTION("""COMPUTED_VALUE"""),"AS-ID-DVC-F-PV-1")</f>
        <v>AS-ID-DVC-F-PV-1</v>
      </c>
      <c r="B16" s="8" t="str">
        <f ca="1">IFERROR(__xludf.DUMMYFUNCTION("""COMPUTED_VALUE"""),"Annual Plan AS-ID-DVC-F-PV-1")</f>
        <v>Annual Plan AS-ID-DVC-F-PV-1</v>
      </c>
      <c r="C16" s="9" t="str">
        <f ca="1">IFERROR(__xludf.DUMMYFUNCTION("""COMPUTED_VALUE"""),"Device ID")</f>
        <v>Device ID</v>
      </c>
      <c r="D16" s="8" t="str">
        <f ca="1">IFERROR(__xludf.DUMMYFUNCTION("""COMPUTED_VALUE"""),"Recurring")</f>
        <v>Recurring</v>
      </c>
      <c r="E16" s="9" t="str">
        <f ca="1">IFERROR(__xludf.DUMMYFUNCTION("""COMPUTED_VALUE"""),"Single additional Device ID (for use with an Omni-F private cloud subscription)")</f>
        <v>Single additional Device ID (for use with an Omni-F private cloud subscription)</v>
      </c>
      <c r="F16" s="10" t="str">
        <f ca="1">IFERROR(__xludf.DUMMYFUNCTION("""COMPUTED_VALUE"""),"GBP")</f>
        <v>GBP</v>
      </c>
      <c r="G16" s="10">
        <f ca="1">IFERROR(__xludf.DUMMYFUNCTION("""COMPUTED_VALUE"""),9.12)</f>
        <v>9.1199999999999992</v>
      </c>
      <c r="H16" s="10">
        <f ca="1">IFERROR(__xludf.DUMMYFUNCTION("""COMPUTED_VALUE"""),109.44)</f>
        <v>109.44</v>
      </c>
    </row>
    <row r="17" spans="1:8">
      <c r="A17" s="8" t="str">
        <f ca="1">IFERROR(__xludf.DUMMYFUNCTION("""COMPUTED_VALUE"""),"AS-ID-DVC-OP-1")</f>
        <v>AS-ID-DVC-OP-1</v>
      </c>
      <c r="B17" s="8" t="str">
        <f ca="1">IFERROR(__xludf.DUMMYFUNCTION("""COMPUTED_VALUE"""),"Annual Plan AS-ID-DVC-OP-1")</f>
        <v>Annual Plan AS-ID-DVC-OP-1</v>
      </c>
      <c r="C17" s="9" t="str">
        <f ca="1">IFERROR(__xludf.DUMMYFUNCTION("""COMPUTED_VALUE"""),"Device ID")</f>
        <v>Device ID</v>
      </c>
      <c r="D17" s="8" t="str">
        <f ca="1">IFERROR(__xludf.DUMMYFUNCTION("""COMPUTED_VALUE"""),"Recurring")</f>
        <v>Recurring</v>
      </c>
      <c r="E17" s="9" t="str">
        <f ca="1">IFERROR(__xludf.DUMMYFUNCTION("""COMPUTED_VALUE"""),"Single additional Device ID (for use with an on-prem subscription)")</f>
        <v>Single additional Device ID (for use with an on-prem subscription)</v>
      </c>
      <c r="F17" s="10" t="str">
        <f ca="1">IFERROR(__xludf.DUMMYFUNCTION("""COMPUTED_VALUE"""),"GBP")</f>
        <v>GBP</v>
      </c>
      <c r="G17" s="10">
        <f ca="1">IFERROR(__xludf.DUMMYFUNCTION("""COMPUTED_VALUE"""),34.36)</f>
        <v>34.36</v>
      </c>
      <c r="H17" s="10">
        <f ca="1">IFERROR(__xludf.DUMMYFUNCTION("""COMPUTED_VALUE"""),412.32)</f>
        <v>412.32</v>
      </c>
    </row>
    <row r="18" spans="1:8">
      <c r="A18" s="8" t="str">
        <f ca="1">IFERROR(__xludf.DUMMYFUNCTION("""COMPUTED_VALUE"""),"AS-ID-DVC-PV-1")</f>
        <v>AS-ID-DVC-PV-1</v>
      </c>
      <c r="B18" s="8" t="str">
        <f ca="1">IFERROR(__xludf.DUMMYFUNCTION("""COMPUTED_VALUE"""),"Annual Plan AS-ID-DVC-PV-1")</f>
        <v>Annual Plan AS-ID-DVC-PV-1</v>
      </c>
      <c r="C18" s="9" t="str">
        <f ca="1">IFERROR(__xludf.DUMMYFUNCTION("""COMPUTED_VALUE"""),"Device ID")</f>
        <v>Device ID</v>
      </c>
      <c r="D18" s="8" t="str">
        <f ca="1">IFERROR(__xludf.DUMMYFUNCTION("""COMPUTED_VALUE"""),"Recurring")</f>
        <v>Recurring</v>
      </c>
      <c r="E18" s="9" t="str">
        <f ca="1">IFERROR(__xludf.DUMMYFUNCTION("""COMPUTED_VALUE"""),"Single additional Device ID (for use with a private cloud subscription)")</f>
        <v>Single additional Device ID (for use with a private cloud subscription)</v>
      </c>
      <c r="F18" s="10" t="str">
        <f ca="1">IFERROR(__xludf.DUMMYFUNCTION("""COMPUTED_VALUE"""),"GBP")</f>
        <v>GBP</v>
      </c>
      <c r="G18" s="10">
        <f ca="1">IFERROR(__xludf.DUMMYFUNCTION("""COMPUTED_VALUE"""),25.77)</f>
        <v>25.77</v>
      </c>
      <c r="H18" s="10">
        <f ca="1">IFERROR(__xludf.DUMMYFUNCTION("""COMPUTED_VALUE"""),309.24)</f>
        <v>309.24</v>
      </c>
    </row>
    <row r="19" spans="1:8">
      <c r="A19" s="8" t="str">
        <f ca="1">IFERROR(__xludf.DUMMYFUNCTION("""COMPUTED_VALUE"""),"AS-IG-AH-1UL")</f>
        <v>AS-IG-AH-1UL</v>
      </c>
      <c r="B19" s="8" t="str">
        <f ca="1">IFERROR(__xludf.DUMMYFUNCTION("""COMPUTED_VALUE"""),"Quarterly Plan AS-IG-AH-1UL")</f>
        <v>Quarterly Plan AS-IG-AH-1UL</v>
      </c>
      <c r="C19" s="9" t="str">
        <f ca="1">IFERROR(__xludf.DUMMYFUNCTION("""COMPUTED_VALUE"""),"Igloo License")</f>
        <v>Igloo License</v>
      </c>
      <c r="D19" s="8" t="str">
        <f ca="1">IFERROR(__xludf.DUMMYFUNCTION("""COMPUTED_VALUE"""),"Recurring")</f>
        <v>Recurring</v>
      </c>
      <c r="E19" s="9" t="str">
        <f ca="1">IFERROR(__xludf.DUMMYFUNCTION("""COMPUTED_VALUE"""),"Authorized User Licenses")</f>
        <v>Authorized User Licenses</v>
      </c>
      <c r="F19" s="10" t="str">
        <f ca="1">IFERROR(__xludf.DUMMYFUNCTION("""COMPUTED_VALUE"""),"GBP")</f>
        <v>GBP</v>
      </c>
      <c r="G19" s="10">
        <f ca="1">IFERROR(__xludf.DUMMYFUNCTION("""COMPUTED_VALUE"""),5.03)</f>
        <v>5.03</v>
      </c>
      <c r="H19" s="10">
        <f ca="1">IFERROR(__xludf.DUMMYFUNCTION("""COMPUTED_VALUE"""),60.36)</f>
        <v>60.36</v>
      </c>
    </row>
    <row r="20" spans="1:8">
      <c r="A20" s="8" t="str">
        <f ca="1">IFERROR(__xludf.DUMMYFUNCTION("""COMPUTED_VALUE"""),"AS-IG-AH-1UL")</f>
        <v>AS-IG-AH-1UL</v>
      </c>
      <c r="B20" s="8" t="str">
        <f ca="1">IFERROR(__xludf.DUMMYFUNCTION("""COMPUTED_VALUE"""),"Annual Plan AS-IG-AH-1UL")</f>
        <v>Annual Plan AS-IG-AH-1UL</v>
      </c>
      <c r="C20" s="9" t="str">
        <f ca="1">IFERROR(__xludf.DUMMYFUNCTION("""COMPUTED_VALUE"""),"Igloo License")</f>
        <v>Igloo License</v>
      </c>
      <c r="D20" s="8" t="str">
        <f ca="1">IFERROR(__xludf.DUMMYFUNCTION("""COMPUTED_VALUE"""),"Recurring")</f>
        <v>Recurring</v>
      </c>
      <c r="E20" s="9" t="str">
        <f ca="1">IFERROR(__xludf.DUMMYFUNCTION("""COMPUTED_VALUE"""),"Authorized User Licenses")</f>
        <v>Authorized User Licenses</v>
      </c>
      <c r="F20" s="10" t="str">
        <f ca="1">IFERROR(__xludf.DUMMYFUNCTION("""COMPUTED_VALUE"""),"GBP")</f>
        <v>GBP</v>
      </c>
      <c r="G20" s="10">
        <f ca="1">IFERROR(__xludf.DUMMYFUNCTION("""COMPUTED_VALUE"""),5.03)</f>
        <v>5.03</v>
      </c>
      <c r="H20" s="10">
        <f ca="1">IFERROR(__xludf.DUMMYFUNCTION("""COMPUTED_VALUE"""),60.36)</f>
        <v>60.36</v>
      </c>
    </row>
    <row r="21" spans="1:8">
      <c r="A21" s="8" t="str">
        <f ca="1">IFERROR(__xludf.DUMMYFUNCTION("""COMPUTED_VALUE"""),"AS-IG-AH-1UL")</f>
        <v>AS-IG-AH-1UL</v>
      </c>
      <c r="B21" s="8" t="str">
        <f ca="1">IFERROR(__xludf.DUMMYFUNCTION("""COMPUTED_VALUE"""),"Monthly Plan AS-IG-AH-1UL")</f>
        <v>Monthly Plan AS-IG-AH-1UL</v>
      </c>
      <c r="C21" s="9" t="str">
        <f ca="1">IFERROR(__xludf.DUMMYFUNCTION("""COMPUTED_VALUE"""),"Igloo License")</f>
        <v>Igloo License</v>
      </c>
      <c r="D21" s="8" t="str">
        <f ca="1">IFERROR(__xludf.DUMMYFUNCTION("""COMPUTED_VALUE"""),"Recurring")</f>
        <v>Recurring</v>
      </c>
      <c r="E21" s="9" t="str">
        <f ca="1">IFERROR(__xludf.DUMMYFUNCTION("""COMPUTED_VALUE"""),"Authorized User Licenses")</f>
        <v>Authorized User Licenses</v>
      </c>
      <c r="F21" s="10" t="str">
        <f ca="1">IFERROR(__xludf.DUMMYFUNCTION("""COMPUTED_VALUE"""),"GBP")</f>
        <v>GBP</v>
      </c>
      <c r="G21" s="10">
        <f ca="1">IFERROR(__xludf.DUMMYFUNCTION("""COMPUTED_VALUE"""),5.03)</f>
        <v>5.03</v>
      </c>
      <c r="H21" s="10">
        <f ca="1">IFERROR(__xludf.DUMMYFUNCTION("""COMPUTED_VALUE"""),60.36)</f>
        <v>60.36</v>
      </c>
    </row>
    <row r="22" spans="1:8">
      <c r="A22" s="8" t="str">
        <f ca="1">IFERROR(__xludf.DUMMYFUNCTION("""COMPUTED_VALUE"""),"AS-IG-AO-B-BHAS")</f>
        <v>AS-IG-AO-B-BHAS</v>
      </c>
      <c r="B22" s="8" t="str">
        <f ca="1">IFERROR(__xludf.DUMMYFUNCTION("""COMPUTED_VALUE"""),"Quarterly Plan AS-IG-AO-B-BHAS")</f>
        <v>Quarterly Plan AS-IG-AO-B-BHAS</v>
      </c>
      <c r="C22" s="9" t="str">
        <f ca="1">IFERROR(__xludf.DUMMYFUNCTION("""COMPUTED_VALUE"""),"Basic Hub and Spoke")</f>
        <v>Basic Hub and Spoke</v>
      </c>
      <c r="D22" s="8" t="str">
        <f ca="1">IFERROR(__xludf.DUMMYFUNCTION("""COMPUTED_VALUE"""),"Recurring")</f>
        <v>Recurring</v>
      </c>
      <c r="E22" s="9" t="str">
        <f ca="1">IFERROR(__xludf.DUMMYFUNCTION("""COMPUTED_VALUE"""),"Basic Hub and Spoke Architecture")</f>
        <v>Basic Hub and Spoke Architecture</v>
      </c>
      <c r="F22" s="10" t="str">
        <f ca="1">IFERROR(__xludf.DUMMYFUNCTION("""COMPUTED_VALUE"""),"GBP")</f>
        <v>GBP</v>
      </c>
      <c r="G22" s="10">
        <f ca="1">IFERROR(__xludf.DUMMYFUNCTION("""COMPUTED_VALUE"""),1746)</f>
        <v>1746</v>
      </c>
      <c r="H22" s="10">
        <f ca="1">IFERROR(__xludf.DUMMYFUNCTION("""COMPUTED_VALUE"""),20952)</f>
        <v>20952</v>
      </c>
    </row>
    <row r="23" spans="1:8">
      <c r="A23" s="8" t="str">
        <f ca="1">IFERROR(__xludf.DUMMYFUNCTION("""COMPUTED_VALUE"""),"AS-IG-AO-B-HHAS")</f>
        <v>AS-IG-AO-B-HHAS</v>
      </c>
      <c r="B23" s="8" t="str">
        <f ca="1">IFERROR(__xludf.DUMMYFUNCTION("""COMPUTED_VALUE"""),"Quarterly Plan AS-IG-AO-B-HHAS")</f>
        <v>Quarterly Plan AS-IG-AO-B-HHAS</v>
      </c>
      <c r="C23" s="9" t="str">
        <f ca="1">IFERROR(__xludf.DUMMYFUNCTION("""COMPUTED_VALUE"""),"Networked Enterprise")</f>
        <v>Networked Enterprise</v>
      </c>
      <c r="D23" s="8" t="str">
        <f ca="1">IFERROR(__xludf.DUMMYFUNCTION("""COMPUTED_VALUE"""),"Recurring")</f>
        <v>Recurring</v>
      </c>
      <c r="E23" s="9" t="str">
        <f ca="1">IFERROR(__xludf.DUMMYFUNCTION("""COMPUTED_VALUE"""),"Networked Enterprise")</f>
        <v>Networked Enterprise</v>
      </c>
      <c r="F23" s="10" t="str">
        <f ca="1">IFERROR(__xludf.DUMMYFUNCTION("""COMPUTED_VALUE"""),"GBP")</f>
        <v>GBP</v>
      </c>
      <c r="G23" s="10">
        <f ca="1">IFERROR(__xludf.DUMMYFUNCTION("""COMPUTED_VALUE"""),125710)</f>
        <v>125710</v>
      </c>
      <c r="H23" s="10">
        <f ca="1">IFERROR(__xludf.DUMMYFUNCTION("""COMPUTED_VALUE"""),1508520)</f>
        <v>1508520</v>
      </c>
    </row>
    <row r="24" spans="1:8">
      <c r="A24" s="8" t="str">
        <f ca="1">IFERROR(__xludf.DUMMYFUNCTION("""COMPUTED_VALUE"""),"AS-IG-AO-B-HHAS")</f>
        <v>AS-IG-AO-B-HHAS</v>
      </c>
      <c r="B24" s="8" t="str">
        <f ca="1">IFERROR(__xludf.DUMMYFUNCTION("""COMPUTED_VALUE"""),"Annual Plan AS-IG-AO-B-HHAS")</f>
        <v>Annual Plan AS-IG-AO-B-HHAS</v>
      </c>
      <c r="C24" s="9" t="str">
        <f ca="1">IFERROR(__xludf.DUMMYFUNCTION("""COMPUTED_VALUE"""),"Networked Enterprise")</f>
        <v>Networked Enterprise</v>
      </c>
      <c r="D24" s="8" t="str">
        <f ca="1">IFERROR(__xludf.DUMMYFUNCTION("""COMPUTED_VALUE"""),"Recurring")</f>
        <v>Recurring</v>
      </c>
      <c r="E24" s="9" t="str">
        <f ca="1">IFERROR(__xludf.DUMMYFUNCTION("""COMPUTED_VALUE"""),"Networked Enterprise")</f>
        <v>Networked Enterprise</v>
      </c>
      <c r="F24" s="10" t="str">
        <f ca="1">IFERROR(__xludf.DUMMYFUNCTION("""COMPUTED_VALUE"""),"GBP")</f>
        <v>GBP</v>
      </c>
      <c r="G24" s="10">
        <f ca="1">IFERROR(__xludf.DUMMYFUNCTION("""COMPUTED_VALUE"""),125710)</f>
        <v>125710</v>
      </c>
      <c r="H24" s="10">
        <f ca="1">IFERROR(__xludf.DUMMYFUNCTION("""COMPUTED_VALUE"""),1508520)</f>
        <v>1508520</v>
      </c>
    </row>
    <row r="25" spans="1:8">
      <c r="A25" s="8" t="str">
        <f ca="1">IFERROR(__xludf.DUMMYFUNCTION("""COMPUTED_VALUE"""),"AS-IG-AO-B-HHASA")</f>
        <v>AS-IG-AO-B-HHASA</v>
      </c>
      <c r="B25" s="8" t="str">
        <f ca="1">IFERROR(__xludf.DUMMYFUNCTION("""COMPUTED_VALUE"""),"Quarterly Plan AS-IG-AO-B-HHASA")</f>
        <v>Quarterly Plan AS-IG-AO-B-HHASA</v>
      </c>
      <c r="C25" s="9" t="str">
        <f ca="1">IFERROR(__xludf.DUMMYFUNCTION("""COMPUTED_VALUE"""),"Additional Spokes")</f>
        <v>Additional Spokes</v>
      </c>
      <c r="D25" s="8" t="str">
        <f ca="1">IFERROR(__xludf.DUMMYFUNCTION("""COMPUTED_VALUE"""),"Recurring")</f>
        <v>Recurring</v>
      </c>
      <c r="E25" s="9" t="str">
        <f ca="1">IFERROR(__xludf.DUMMYFUNCTION("""COMPUTED_VALUE"""),"Hub and Spoke - Additional Spokes")</f>
        <v>Hub and Spoke - Additional Spokes</v>
      </c>
      <c r="F25" s="10" t="str">
        <f ca="1">IFERROR(__xludf.DUMMYFUNCTION("""COMPUTED_VALUE"""),"GBP")</f>
        <v>GBP</v>
      </c>
      <c r="G25" s="10">
        <f ca="1">IFERROR(__xludf.DUMMYFUNCTION("""COMPUTED_VALUE"""),4190)</f>
        <v>4190</v>
      </c>
      <c r="H25" s="10">
        <f ca="1">IFERROR(__xludf.DUMMYFUNCTION("""COMPUTED_VALUE"""),50280)</f>
        <v>50280</v>
      </c>
    </row>
    <row r="26" spans="1:8">
      <c r="A26" s="8" t="str">
        <f ca="1">IFERROR(__xludf.DUMMYFUNCTION("""COMPUTED_VALUE"""),"AS-IG-AO-B-HHASA")</f>
        <v>AS-IG-AO-B-HHASA</v>
      </c>
      <c r="B26" s="8" t="str">
        <f ca="1">IFERROR(__xludf.DUMMYFUNCTION("""COMPUTED_VALUE"""),"Annual Plan AS-IG-AO-B-HHASA")</f>
        <v>Annual Plan AS-IG-AO-B-HHASA</v>
      </c>
      <c r="C26" s="9" t="str">
        <f ca="1">IFERROR(__xludf.DUMMYFUNCTION("""COMPUTED_VALUE"""),"Additional Spokes")</f>
        <v>Additional Spokes</v>
      </c>
      <c r="D26" s="8" t="str">
        <f ca="1">IFERROR(__xludf.DUMMYFUNCTION("""COMPUTED_VALUE"""),"Recurring")</f>
        <v>Recurring</v>
      </c>
      <c r="E26" s="9" t="str">
        <f ca="1">IFERROR(__xludf.DUMMYFUNCTION("""COMPUTED_VALUE"""),"Hub and Spoke - Additional Spokes")</f>
        <v>Hub and Spoke - Additional Spokes</v>
      </c>
      <c r="F26" s="10" t="str">
        <f ca="1">IFERROR(__xludf.DUMMYFUNCTION("""COMPUTED_VALUE"""),"GBP")</f>
        <v>GBP</v>
      </c>
      <c r="G26" s="10">
        <f ca="1">IFERROR(__xludf.DUMMYFUNCTION("""COMPUTED_VALUE"""),4190)</f>
        <v>4190</v>
      </c>
      <c r="H26" s="10">
        <f ca="1">IFERROR(__xludf.DUMMYFUNCTION("""COMPUTED_VALUE"""),50280)</f>
        <v>50280</v>
      </c>
    </row>
    <row r="27" spans="1:8">
      <c r="A27" s="8" t="str">
        <f ca="1">IFERROR(__xludf.DUMMYFUNCTION("""COMPUTED_VALUE"""),"AS-IG-AO-B-HIPAA")</f>
        <v>AS-IG-AO-B-HIPAA</v>
      </c>
      <c r="B27" s="8" t="str">
        <f ca="1">IFERROR(__xludf.DUMMYFUNCTION("""COMPUTED_VALUE"""),"Quarterly Plan AS-IG-AO-B-HIPAA")</f>
        <v>Quarterly Plan AS-IG-AO-B-HIPAA</v>
      </c>
      <c r="C27" s="9" t="str">
        <f ca="1">IFERROR(__xludf.DUMMYFUNCTION("""COMPUTED_VALUE"""),"Security HIPAA")</f>
        <v>Security HIPAA</v>
      </c>
      <c r="D27" s="8" t="str">
        <f ca="1">IFERROR(__xludf.DUMMYFUNCTION("""COMPUTED_VALUE"""),"Recurring")</f>
        <v>Recurring</v>
      </c>
      <c r="E27" s="9" t="str">
        <f ca="1">IFERROR(__xludf.DUMMYFUNCTION("""COMPUTED_VALUE"""),"HIPAA Security Package")</f>
        <v>HIPAA Security Package</v>
      </c>
      <c r="F27" s="10" t="str">
        <f ca="1">IFERROR(__xludf.DUMMYFUNCTION("""COMPUTED_VALUE"""),"GBP")</f>
        <v>GBP</v>
      </c>
      <c r="G27" s="10">
        <f ca="1">IFERROR(__xludf.DUMMYFUNCTION("""COMPUTED_VALUE"""),698)</f>
        <v>698</v>
      </c>
      <c r="H27" s="10">
        <f ca="1">IFERROR(__xludf.DUMMYFUNCTION("""COMPUTED_VALUE"""),8376)</f>
        <v>8376</v>
      </c>
    </row>
    <row r="28" spans="1:8">
      <c r="A28" s="8" t="str">
        <f ca="1">IFERROR(__xludf.DUMMYFUNCTION("""COMPUTED_VALUE"""),"AS-IG-AO-B-HIPAA")</f>
        <v>AS-IG-AO-B-HIPAA</v>
      </c>
      <c r="B28" s="8" t="str">
        <f ca="1">IFERROR(__xludf.DUMMYFUNCTION("""COMPUTED_VALUE"""),"Annual Plan AS-IG-AO-B-HIPAA")</f>
        <v>Annual Plan AS-IG-AO-B-HIPAA</v>
      </c>
      <c r="C28" s="9" t="str">
        <f ca="1">IFERROR(__xludf.DUMMYFUNCTION("""COMPUTED_VALUE"""),"Security HIPAA")</f>
        <v>Security HIPAA</v>
      </c>
      <c r="D28" s="8" t="str">
        <f ca="1">IFERROR(__xludf.DUMMYFUNCTION("""COMPUTED_VALUE"""),"Recurring")</f>
        <v>Recurring</v>
      </c>
      <c r="E28" s="9" t="str">
        <f ca="1">IFERROR(__xludf.DUMMYFUNCTION("""COMPUTED_VALUE"""),"HIPAA Security Package")</f>
        <v>HIPAA Security Package</v>
      </c>
      <c r="F28" s="10" t="str">
        <f ca="1">IFERROR(__xludf.DUMMYFUNCTION("""COMPUTED_VALUE"""),"GBP")</f>
        <v>GBP</v>
      </c>
      <c r="G28" s="10">
        <f ca="1">IFERROR(__xludf.DUMMYFUNCTION("""COMPUTED_VALUE"""),698)</f>
        <v>698</v>
      </c>
      <c r="H28" s="10">
        <f ca="1">IFERROR(__xludf.DUMMYFUNCTION("""COMPUTED_VALUE"""),8376)</f>
        <v>8376</v>
      </c>
    </row>
    <row r="29" spans="1:8">
      <c r="A29" s="8" t="str">
        <f ca="1">IFERROR(__xludf.DUMMYFUNCTION("""COMPUTED_VALUE"""),"AS-IG-AO-B-HSTSS")</f>
        <v>AS-IG-AO-B-HSTSS</v>
      </c>
      <c r="B29" s="8" t="str">
        <f ca="1">IFERROR(__xludf.DUMMYFUNCTION("""COMPUTED_VALUE"""),"Quarterly Plan AS-IG-AO-B-HSTSS")</f>
        <v>Quarterly Plan AS-IG-AO-B-HSTSS</v>
      </c>
      <c r="C29" s="9" t="str">
        <f ca="1">IFERROR(__xludf.DUMMYFUNCTION("""COMPUTED_VALUE"""),"Single Tenant - Shared Services")</f>
        <v>Single Tenant - Shared Services</v>
      </c>
      <c r="D29" s="8" t="str">
        <f ca="1">IFERROR(__xludf.DUMMYFUNCTION("""COMPUTED_VALUE"""),"Recurring")</f>
        <v>Recurring</v>
      </c>
      <c r="E29" s="9" t="str">
        <f ca="1">IFERROR(__xludf.DUMMYFUNCTION("""COMPUTED_VALUE"""),"Single Tenant with Shared Services")</f>
        <v>Single Tenant with Shared Services</v>
      </c>
      <c r="F29" s="10" t="str">
        <f ca="1">IFERROR(__xludf.DUMMYFUNCTION("""COMPUTED_VALUE"""),"GBP")</f>
        <v>GBP</v>
      </c>
      <c r="G29" s="8">
        <f ca="1">IFERROR(__xludf.DUMMYFUNCTION("""COMPUTED_VALUE"""),62855)</f>
        <v>62855</v>
      </c>
      <c r="H29" s="10">
        <f ca="1">IFERROR(__xludf.DUMMYFUNCTION("""COMPUTED_VALUE"""),754260)</f>
        <v>754260</v>
      </c>
    </row>
    <row r="30" spans="1:8">
      <c r="A30" s="8" t="str">
        <f ca="1">IFERROR(__xludf.DUMMYFUNCTION("""COMPUTED_VALUE"""),"AS-IG-AO-B-HSTSS")</f>
        <v>AS-IG-AO-B-HSTSS</v>
      </c>
      <c r="B30" s="8" t="str">
        <f ca="1">IFERROR(__xludf.DUMMYFUNCTION("""COMPUTED_VALUE"""),"Annual Plan AS-IG-AO-B-HSTSS")</f>
        <v>Annual Plan AS-IG-AO-B-HSTSS</v>
      </c>
      <c r="C30" s="9" t="str">
        <f ca="1">IFERROR(__xludf.DUMMYFUNCTION("""COMPUTED_VALUE"""),"Single Tenant - Shared Services")</f>
        <v>Single Tenant - Shared Services</v>
      </c>
      <c r="D30" s="8" t="str">
        <f ca="1">IFERROR(__xludf.DUMMYFUNCTION("""COMPUTED_VALUE"""),"Recurring")</f>
        <v>Recurring</v>
      </c>
      <c r="E30" s="9" t="str">
        <f ca="1">IFERROR(__xludf.DUMMYFUNCTION("""COMPUTED_VALUE"""),"Single Tenant with Shared Services")</f>
        <v>Single Tenant with Shared Services</v>
      </c>
      <c r="F30" s="10" t="str">
        <f ca="1">IFERROR(__xludf.DUMMYFUNCTION("""COMPUTED_VALUE"""),"GBP")</f>
        <v>GBP</v>
      </c>
      <c r="G30" s="10">
        <f ca="1">IFERROR(__xludf.DUMMYFUNCTION("""COMPUTED_VALUE"""),62855)</f>
        <v>62855</v>
      </c>
      <c r="H30" s="10">
        <f ca="1">IFERROR(__xludf.DUMMYFUNCTION("""COMPUTED_VALUE"""),754260)</f>
        <v>754260</v>
      </c>
    </row>
    <row r="31" spans="1:8">
      <c r="A31" s="8" t="str">
        <f ca="1">IFERROR(__xludf.DUMMYFUNCTION("""COMPUTED_VALUE"""),"AS-IG-AO-B-SSSTS")</f>
        <v>AS-IG-AO-B-SSSTS</v>
      </c>
      <c r="B31" s="8" t="str">
        <f ca="1">IFERROR(__xludf.DUMMYFUNCTION("""COMPUTED_VALUE"""),"Quarterly Plan AS-IG-AO-B-SSSTS")</f>
        <v>Quarterly Plan AS-IG-AO-B-SSSTS</v>
      </c>
      <c r="C31" s="9" t="str">
        <f ca="1">IFERROR(__xludf.DUMMYFUNCTION("""COMPUTED_VALUE"""),"Shared SST Site")</f>
        <v>Shared SST Site</v>
      </c>
      <c r="D31" s="8" t="str">
        <f ca="1">IFERROR(__xludf.DUMMYFUNCTION("""COMPUTED_VALUE"""),"Recurring")</f>
        <v>Recurring</v>
      </c>
      <c r="E31" s="9" t="str">
        <f ca="1">IFERROR(__xludf.DUMMYFUNCTION("""COMPUTED_VALUE"""),"Shared SST Site")</f>
        <v>Shared SST Site</v>
      </c>
      <c r="F31" s="10" t="str">
        <f ca="1">IFERROR(__xludf.DUMMYFUNCTION("""COMPUTED_VALUE"""),"GBP")</f>
        <v>GBP</v>
      </c>
      <c r="G31" s="10">
        <f ca="1">IFERROR(__xludf.DUMMYFUNCTION("""COMPUTED_VALUE"""),12571)</f>
        <v>12571</v>
      </c>
      <c r="H31" s="10">
        <f ca="1">IFERROR(__xludf.DUMMYFUNCTION("""COMPUTED_VALUE"""),150852)</f>
        <v>150852</v>
      </c>
    </row>
    <row r="32" spans="1:8">
      <c r="A32" s="8" t="str">
        <f ca="1">IFERROR(__xludf.DUMMYFUNCTION("""COMPUTED_VALUE"""),"AS-IG-AO-B-SSSTS")</f>
        <v>AS-IG-AO-B-SSSTS</v>
      </c>
      <c r="B32" s="8" t="str">
        <f ca="1">IFERROR(__xludf.DUMMYFUNCTION("""COMPUTED_VALUE"""),"Annual Plan AS-IG-AO-B-SSSTS")</f>
        <v>Annual Plan AS-IG-AO-B-SSSTS</v>
      </c>
      <c r="C32" s="9" t="str">
        <f ca="1">IFERROR(__xludf.DUMMYFUNCTION("""COMPUTED_VALUE"""),"Shared SST Site")</f>
        <v>Shared SST Site</v>
      </c>
      <c r="D32" s="8" t="str">
        <f ca="1">IFERROR(__xludf.DUMMYFUNCTION("""COMPUTED_VALUE"""),"Recurring")</f>
        <v>Recurring</v>
      </c>
      <c r="E32" s="9" t="str">
        <f ca="1">IFERROR(__xludf.DUMMYFUNCTION("""COMPUTED_VALUE"""),"Shared SST Site")</f>
        <v>Shared SST Site</v>
      </c>
      <c r="F32" s="10" t="str">
        <f ca="1">IFERROR(__xludf.DUMMYFUNCTION("""COMPUTED_VALUE"""),"GBP")</f>
        <v>GBP</v>
      </c>
      <c r="G32" s="10">
        <f ca="1">IFERROR(__xludf.DUMMYFUNCTION("""COMPUTED_VALUE"""),12571)</f>
        <v>12571</v>
      </c>
      <c r="H32" s="10">
        <f ca="1">IFERROR(__xludf.DUMMYFUNCTION("""COMPUTED_VALUE"""),150852)</f>
        <v>150852</v>
      </c>
    </row>
    <row r="33" spans="1:8">
      <c r="A33" s="8" t="str">
        <f ca="1">IFERROR(__xludf.DUMMYFUNCTION("""COMPUTED_VALUE"""),"AS-IG-AO-CIP")</f>
        <v>AS-IG-AO-CIP</v>
      </c>
      <c r="B33" s="8" t="str">
        <f ca="1">IFERROR(__xludf.DUMMYFUNCTION("""COMPUTED_VALUE"""),"Annual Plan AS-IG-AO-CIP")</f>
        <v>Annual Plan AS-IG-AO-CIP</v>
      </c>
      <c r="C33" s="9" t="str">
        <f ca="1">IFERROR(__xludf.DUMMYFUNCTION("""COMPUTED_VALUE"""),"Continuous Improvement Program")</f>
        <v>Continuous Improvement Program</v>
      </c>
      <c r="D33" s="8" t="str">
        <f ca="1">IFERROR(__xludf.DUMMYFUNCTION("""COMPUTED_VALUE"""),"Recurring")</f>
        <v>Recurring</v>
      </c>
      <c r="E33" s="9" t="str">
        <f ca="1">IFERROR(__xludf.DUMMYFUNCTION("""COMPUTED_VALUE"""),"Continuous Improvement Program")</f>
        <v>Continuous Improvement Program</v>
      </c>
      <c r="F33" s="10" t="str">
        <f ca="1">IFERROR(__xludf.DUMMYFUNCTION("""COMPUTED_VALUE"""),"GBP")</f>
        <v>GBP</v>
      </c>
      <c r="G33" s="10">
        <f ca="1">IFERROR(__xludf.DUMMYFUNCTION("""COMPUTED_VALUE"""),349)</f>
        <v>349</v>
      </c>
      <c r="H33" s="10">
        <f ca="1">IFERROR(__xludf.DUMMYFUNCTION("""COMPUTED_VALUE"""),4188)</f>
        <v>4188</v>
      </c>
    </row>
    <row r="34" spans="1:8">
      <c r="A34" s="8" t="str">
        <f ca="1">IFERROR(__xludf.DUMMYFUNCTION("""COMPUTED_VALUE"""),"AS-IG-AO-CIP")</f>
        <v>AS-IG-AO-CIP</v>
      </c>
      <c r="B34" s="8" t="str">
        <f ca="1">IFERROR(__xludf.DUMMYFUNCTION("""COMPUTED_VALUE"""),"Quarterly Plan AS-IG-AO-CIP")</f>
        <v>Quarterly Plan AS-IG-AO-CIP</v>
      </c>
      <c r="C34" s="9" t="str">
        <f ca="1">IFERROR(__xludf.DUMMYFUNCTION("""COMPUTED_VALUE"""),"Continuous Improvement Program")</f>
        <v>Continuous Improvement Program</v>
      </c>
      <c r="D34" s="8" t="str">
        <f ca="1">IFERROR(__xludf.DUMMYFUNCTION("""COMPUTED_VALUE"""),"Recurring")</f>
        <v>Recurring</v>
      </c>
      <c r="E34" s="9" t="str">
        <f ca="1">IFERROR(__xludf.DUMMYFUNCTION("""COMPUTED_VALUE"""),"Continuous Improvement Program")</f>
        <v>Continuous Improvement Program</v>
      </c>
      <c r="F34" s="10" t="str">
        <f ca="1">IFERROR(__xludf.DUMMYFUNCTION("""COMPUTED_VALUE"""),"GBP")</f>
        <v>GBP</v>
      </c>
      <c r="G34" s="8">
        <f ca="1">IFERROR(__xludf.DUMMYFUNCTION("""COMPUTED_VALUE"""),349)</f>
        <v>349</v>
      </c>
      <c r="H34" s="10">
        <f ca="1">IFERROR(__xludf.DUMMYFUNCTION("""COMPUTED_VALUE"""),4188)</f>
        <v>4188</v>
      </c>
    </row>
    <row r="35" spans="1:8">
      <c r="A35" s="8" t="str">
        <f ca="1">IFERROR(__xludf.DUMMYFUNCTION("""COMPUTED_VALUE"""),"AS-IG-AO-CS-TAM-E")</f>
        <v>AS-IG-AO-CS-TAM-E</v>
      </c>
      <c r="B35" s="8" t="str">
        <f ca="1">IFERROR(__xludf.DUMMYFUNCTION("""COMPUTED_VALUE"""),"Annual Plan AS-IG-AO-CS-TAM-E")</f>
        <v>Annual Plan AS-IG-AO-CS-TAM-E</v>
      </c>
      <c r="C35" s="9" t="str">
        <f ca="1">IFERROR(__xludf.DUMMYFUNCTION("""COMPUTED_VALUE"""),"TAM Enterprise")</f>
        <v>TAM Enterprise</v>
      </c>
      <c r="D35" s="8" t="str">
        <f ca="1">IFERROR(__xludf.DUMMYFUNCTION("""COMPUTED_VALUE"""),"Recurring")</f>
        <v>Recurring</v>
      </c>
      <c r="E35" s="9" t="str">
        <f ca="1">IFERROR(__xludf.DUMMYFUNCTION("""COMPUTED_VALUE"""),"Technical Account Manager - Enterprise")</f>
        <v>Technical Account Manager - Enterprise</v>
      </c>
      <c r="F35" s="10" t="str">
        <f ca="1">IFERROR(__xludf.DUMMYFUNCTION("""COMPUTED_VALUE"""),"GBP")</f>
        <v>GBP</v>
      </c>
      <c r="G35" s="10">
        <f ca="1">IFERROR(__xludf.DUMMYFUNCTION("""COMPUTED_VALUE"""),2794)</f>
        <v>2794</v>
      </c>
      <c r="H35" s="10">
        <f ca="1">IFERROR(__xludf.DUMMYFUNCTION("""COMPUTED_VALUE"""),33528)</f>
        <v>33528</v>
      </c>
    </row>
    <row r="36" spans="1:8">
      <c r="A36" s="8" t="str">
        <f ca="1">IFERROR(__xludf.DUMMYFUNCTION("""COMPUTED_VALUE"""),"AS-IG-AO-CS-TAM-E")</f>
        <v>AS-IG-AO-CS-TAM-E</v>
      </c>
      <c r="B36" s="8" t="str">
        <f ca="1">IFERROR(__xludf.DUMMYFUNCTION("""COMPUTED_VALUE"""),"Quarterly Plan AS-IG-AO-CS-TAM-E")</f>
        <v>Quarterly Plan AS-IG-AO-CS-TAM-E</v>
      </c>
      <c r="C36" s="9" t="str">
        <f ca="1">IFERROR(__xludf.DUMMYFUNCTION("""COMPUTED_VALUE"""),"TAM Enterprise")</f>
        <v>TAM Enterprise</v>
      </c>
      <c r="D36" s="8" t="str">
        <f ca="1">IFERROR(__xludf.DUMMYFUNCTION("""COMPUTED_VALUE"""),"Recurring")</f>
        <v>Recurring</v>
      </c>
      <c r="E36" s="9" t="str">
        <f ca="1">IFERROR(__xludf.DUMMYFUNCTION("""COMPUTED_VALUE"""),"Technical Account Manager - Enterprise")</f>
        <v>Technical Account Manager - Enterprise</v>
      </c>
      <c r="F36" s="10" t="str">
        <f ca="1">IFERROR(__xludf.DUMMYFUNCTION("""COMPUTED_VALUE"""),"GBP")</f>
        <v>GBP</v>
      </c>
      <c r="G36" s="10">
        <f ca="1">IFERROR(__xludf.DUMMYFUNCTION("""COMPUTED_VALUE"""),2794)</f>
        <v>2794</v>
      </c>
      <c r="H36" s="10">
        <f ca="1">IFERROR(__xludf.DUMMYFUNCTION("""COMPUTED_VALUE"""),33528)</f>
        <v>33528</v>
      </c>
    </row>
    <row r="37" spans="1:8">
      <c r="A37" s="8" t="str">
        <f ca="1">IFERROR(__xludf.DUMMYFUNCTION("""COMPUTED_VALUE"""),"AS-IG-AO-CS-TAMP")</f>
        <v>AS-IG-AO-CS-TAMP</v>
      </c>
      <c r="B37" s="8" t="str">
        <f ca="1">IFERROR(__xludf.DUMMYFUNCTION("""COMPUTED_VALUE"""),"Annual Plan AS-IG-AO-CS-TAMP")</f>
        <v>Annual Plan AS-IG-AO-CS-TAMP</v>
      </c>
      <c r="C37" s="9" t="str">
        <f ca="1">IFERROR(__xludf.DUMMYFUNCTION("""COMPUTED_VALUE"""),"TAM Professional")</f>
        <v>TAM Professional</v>
      </c>
      <c r="D37" s="8" t="str">
        <f ca="1">IFERROR(__xludf.DUMMYFUNCTION("""COMPUTED_VALUE"""),"Recurring")</f>
        <v>Recurring</v>
      </c>
      <c r="E37" s="9" t="str">
        <f ca="1">IFERROR(__xludf.DUMMYFUNCTION("""COMPUTED_VALUE"""),"Technical Account Manager (TAM) - Professional")</f>
        <v>Technical Account Manager (TAM) - Professional</v>
      </c>
      <c r="F37" s="10" t="str">
        <f ca="1">IFERROR(__xludf.DUMMYFUNCTION("""COMPUTED_VALUE"""),"GBP")</f>
        <v>GBP</v>
      </c>
      <c r="G37" s="10">
        <f ca="1">IFERROR(__xludf.DUMMYFUNCTION("""COMPUTED_VALUE"""),1397)</f>
        <v>1397</v>
      </c>
      <c r="H37" s="10">
        <f ca="1">IFERROR(__xludf.DUMMYFUNCTION("""COMPUTED_VALUE"""),16764)</f>
        <v>16764</v>
      </c>
    </row>
    <row r="38" spans="1:8">
      <c r="A38" s="8" t="str">
        <f ca="1">IFERROR(__xludf.DUMMYFUNCTION("""COMPUTED_VALUE"""),"AS-IG-AO-CS-TAMP")</f>
        <v>AS-IG-AO-CS-TAMP</v>
      </c>
      <c r="B38" s="8" t="str">
        <f ca="1">IFERROR(__xludf.DUMMYFUNCTION("""COMPUTED_VALUE"""),"Quarterly Plan AS-IG-AO-CS-TAMP")</f>
        <v>Quarterly Plan AS-IG-AO-CS-TAMP</v>
      </c>
      <c r="C38" s="9" t="str">
        <f ca="1">IFERROR(__xludf.DUMMYFUNCTION("""COMPUTED_VALUE"""),"TAM Professional")</f>
        <v>TAM Professional</v>
      </c>
      <c r="D38" s="8" t="str">
        <f ca="1">IFERROR(__xludf.DUMMYFUNCTION("""COMPUTED_VALUE"""),"Recurring")</f>
        <v>Recurring</v>
      </c>
      <c r="E38" s="9" t="str">
        <f ca="1">IFERROR(__xludf.DUMMYFUNCTION("""COMPUTED_VALUE"""),"Technical Account Manager (TAM) - Professional")</f>
        <v>Technical Account Manager (TAM) - Professional</v>
      </c>
      <c r="F38" s="10" t="str">
        <f ca="1">IFERROR(__xludf.DUMMYFUNCTION("""COMPUTED_VALUE"""),"GBP")</f>
        <v>GBP</v>
      </c>
      <c r="G38" s="10">
        <f ca="1">IFERROR(__xludf.DUMMYFUNCTION("""COMPUTED_VALUE"""),1397)</f>
        <v>1397</v>
      </c>
      <c r="H38" s="10">
        <f ca="1">IFERROR(__xludf.DUMMYFUNCTION("""COMPUTED_VALUE"""),16764)</f>
        <v>16764</v>
      </c>
    </row>
    <row r="39" spans="1:8">
      <c r="A39" s="8" t="str">
        <f ca="1">IFERROR(__xludf.DUMMYFUNCTION("""COMPUTED_VALUE"""),"AS-IG-AO-GAD-DEP")</f>
        <v>AS-IG-AO-GAD-DEP</v>
      </c>
      <c r="B39" s="8" t="str">
        <f ca="1">IFERROR(__xludf.DUMMYFUNCTION("""COMPUTED_VALUE"""),"Quarterly Plan AS-IG-AO-GAD-DEP")</f>
        <v>Quarterly Plan AS-IG-AO-GAD-DEP</v>
      </c>
      <c r="C39" s="9" t="str">
        <f ca="1">IFERROR(__xludf.DUMMYFUNCTION("""COMPUTED_VALUE"""),"Gadget Depot")</f>
        <v>Gadget Depot</v>
      </c>
      <c r="D39" s="8" t="str">
        <f ca="1">IFERROR(__xludf.DUMMYFUNCTION("""COMPUTED_VALUE"""),"Recurring")</f>
        <v>Recurring</v>
      </c>
      <c r="E39" s="9" t="str">
        <f ca="1">IFERROR(__xludf.DUMMYFUNCTION("""COMPUTED_VALUE"""),"Gadget Depot")</f>
        <v>Gadget Depot</v>
      </c>
      <c r="F39" s="10" t="str">
        <f ca="1">IFERROR(__xludf.DUMMYFUNCTION("""COMPUTED_VALUE"""),"GBP")</f>
        <v>GBP</v>
      </c>
      <c r="G39" s="10">
        <f ca="1">IFERROR(__xludf.DUMMYFUNCTION("""COMPUTED_VALUE"""),4190)</f>
        <v>4190</v>
      </c>
      <c r="H39" s="10">
        <f ca="1">IFERROR(__xludf.DUMMYFUNCTION("""COMPUTED_VALUE"""),50280)</f>
        <v>50280</v>
      </c>
    </row>
    <row r="40" spans="1:8">
      <c r="A40" s="8" t="str">
        <f ca="1">IFERROR(__xludf.DUMMYFUNCTION("""COMPUTED_VALUE"""),"AS-IG-AO-GAD-DEP")</f>
        <v>AS-IG-AO-GAD-DEP</v>
      </c>
      <c r="B40" s="8" t="str">
        <f ca="1">IFERROR(__xludf.DUMMYFUNCTION("""COMPUTED_VALUE"""),"Annual Plan AS-IG-AO-GAD-DEP")</f>
        <v>Annual Plan AS-IG-AO-GAD-DEP</v>
      </c>
      <c r="C40" s="9" t="str">
        <f ca="1">IFERROR(__xludf.DUMMYFUNCTION("""COMPUTED_VALUE"""),"Gadget Depot")</f>
        <v>Gadget Depot</v>
      </c>
      <c r="D40" s="8" t="str">
        <f ca="1">IFERROR(__xludf.DUMMYFUNCTION("""COMPUTED_VALUE"""),"Recurring")</f>
        <v>Recurring</v>
      </c>
      <c r="E40" s="9" t="str">
        <f ca="1">IFERROR(__xludf.DUMMYFUNCTION("""COMPUTED_VALUE"""),"Gadget Depot")</f>
        <v>Gadget Depot</v>
      </c>
      <c r="F40" s="10" t="str">
        <f ca="1">IFERROR(__xludf.DUMMYFUNCTION("""COMPUTED_VALUE"""),"GBP")</f>
        <v>GBP</v>
      </c>
      <c r="G40" s="10">
        <f ca="1">IFERROR(__xludf.DUMMYFUNCTION("""COMPUTED_VALUE"""),4190)</f>
        <v>4190</v>
      </c>
      <c r="H40" s="10">
        <f ca="1">IFERROR(__xludf.DUMMYFUNCTION("""COMPUTED_VALUE"""),50280)</f>
        <v>50280</v>
      </c>
    </row>
    <row r="41" spans="1:8">
      <c r="A41" s="8" t="str">
        <f ca="1">IFERROR(__xludf.DUMMYFUNCTION("""COMPUTED_VALUE"""),"AS-IG-AO-GROUP-SPACES-500")</f>
        <v>AS-IG-AO-GROUP-SPACES-500</v>
      </c>
      <c r="B41" s="8" t="str">
        <f ca="1">IFERROR(__xludf.DUMMYFUNCTION("""COMPUTED_VALUE"""),"Annual Plan AS-IG-AO-GROUP-SPACES-500")</f>
        <v>Annual Plan AS-IG-AO-GROUP-SPACES-500</v>
      </c>
      <c r="C41" s="9" t="str">
        <f ca="1">IFERROR(__xludf.DUMMYFUNCTION("""COMPUTED_VALUE"""),"Additional Spaces (500)")</f>
        <v>Additional Spaces (500)</v>
      </c>
      <c r="D41" s="8" t="str">
        <f ca="1">IFERROR(__xludf.DUMMYFUNCTION("""COMPUTED_VALUE"""),"Recurring")</f>
        <v>Recurring</v>
      </c>
      <c r="E41" s="9" t="str">
        <f ca="1">IFERROR(__xludf.DUMMYFUNCTION("""COMPUTED_VALUE"""),"Additional Spaces - 500 Bundle")</f>
        <v>Additional Spaces - 500 Bundle</v>
      </c>
      <c r="F41" s="10" t="str">
        <f ca="1">IFERROR(__xludf.DUMMYFUNCTION("""COMPUTED_VALUE"""),"GBP")</f>
        <v>GBP</v>
      </c>
      <c r="G41" s="10">
        <f ca="1">IFERROR(__xludf.DUMMYFUNCTION("""COMPUTED_VALUE"""),210)</f>
        <v>210</v>
      </c>
      <c r="H41" s="10">
        <f ca="1">IFERROR(__xludf.DUMMYFUNCTION("""COMPUTED_VALUE"""),2520)</f>
        <v>2520</v>
      </c>
    </row>
    <row r="42" spans="1:8">
      <c r="A42" s="8" t="str">
        <f ca="1">IFERROR(__xludf.DUMMYFUNCTION("""COMPUTED_VALUE"""),"AS-IG-AO-GROUP-SPACES-500")</f>
        <v>AS-IG-AO-GROUP-SPACES-500</v>
      </c>
      <c r="B42" s="8" t="str">
        <f ca="1">IFERROR(__xludf.DUMMYFUNCTION("""COMPUTED_VALUE"""),"Quarterly Plan AS-IG-AO-GROUP-SPACES-500")</f>
        <v>Quarterly Plan AS-IG-AO-GROUP-SPACES-500</v>
      </c>
      <c r="C42" s="9" t="str">
        <f ca="1">IFERROR(__xludf.DUMMYFUNCTION("""COMPUTED_VALUE"""),"Additional Spaces (500)")</f>
        <v>Additional Spaces (500)</v>
      </c>
      <c r="D42" s="8" t="str">
        <f ca="1">IFERROR(__xludf.DUMMYFUNCTION("""COMPUTED_VALUE"""),"Recurring")</f>
        <v>Recurring</v>
      </c>
      <c r="E42" s="9" t="str">
        <f ca="1">IFERROR(__xludf.DUMMYFUNCTION("""COMPUTED_VALUE"""),"Additional Spaces - 500 Bundle")</f>
        <v>Additional Spaces - 500 Bundle</v>
      </c>
      <c r="F42" s="10" t="str">
        <f ca="1">IFERROR(__xludf.DUMMYFUNCTION("""COMPUTED_VALUE"""),"GBP")</f>
        <v>GBP</v>
      </c>
      <c r="G42" s="10">
        <f ca="1">IFERROR(__xludf.DUMMYFUNCTION("""COMPUTED_VALUE"""),210)</f>
        <v>210</v>
      </c>
      <c r="H42" s="10">
        <f ca="1">IFERROR(__xludf.DUMMYFUNCTION("""COMPUTED_VALUE"""),2520)</f>
        <v>2520</v>
      </c>
    </row>
    <row r="43" spans="1:8">
      <c r="A43" s="8" t="str">
        <f ca="1">IFERROR(__xludf.DUMMYFUNCTION("""COMPUTED_VALUE"""),"AS-IG-AO-IDA-BP")</f>
        <v>AS-IG-AO-IDA-BP</v>
      </c>
      <c r="B43" s="8" t="str">
        <f ca="1">IFERROR(__xludf.DUMMYFUNCTION("""COMPUTED_VALUE"""),"Quarterly Plan AS-IG-AO-IDA-BP")</f>
        <v>Quarterly Plan AS-IG-AO-IDA-BP</v>
      </c>
      <c r="C43" s="9" t="str">
        <f ca="1">IFERROR(__xludf.DUMMYFUNCTION("""COMPUTED_VALUE"""),"IDA Base")</f>
        <v>IDA Base</v>
      </c>
      <c r="D43" s="8" t="str">
        <f ca="1">IFERROR(__xludf.DUMMYFUNCTION("""COMPUTED_VALUE"""),"Recurring")</f>
        <v>Recurring</v>
      </c>
      <c r="E43" s="9" t="str">
        <f ca="1">IFERROR(__xludf.DUMMYFUNCTION("""COMPUTED_VALUE"""),"Igloo Igloo Digital Assistant - Base Package")</f>
        <v>Igloo Igloo Digital Assistant - Base Package</v>
      </c>
      <c r="F43" s="10" t="str">
        <f ca="1">IFERROR(__xludf.DUMMYFUNCTION("""COMPUTED_VALUE"""),"GBP")</f>
        <v>GBP</v>
      </c>
      <c r="G43" s="10">
        <f ca="1">IFERROR(__xludf.DUMMYFUNCTION("""COMPUTED_VALUE"""),0.42)</f>
        <v>0.42</v>
      </c>
      <c r="H43" s="10">
        <f ca="1">IFERROR(__xludf.DUMMYFUNCTION("""COMPUTED_VALUE"""),5.04)</f>
        <v>5.04</v>
      </c>
    </row>
    <row r="44" spans="1:8">
      <c r="A44" s="8" t="str">
        <f ca="1">IFERROR(__xludf.DUMMYFUNCTION("""COMPUTED_VALUE"""),"AS-IG-AO-IDA-BP")</f>
        <v>AS-IG-AO-IDA-BP</v>
      </c>
      <c r="B44" s="8" t="str">
        <f ca="1">IFERROR(__xludf.DUMMYFUNCTION("""COMPUTED_VALUE"""),"Annual Plan AS-IG-AO-IDA-BP")</f>
        <v>Annual Plan AS-IG-AO-IDA-BP</v>
      </c>
      <c r="C44" s="9" t="str">
        <f ca="1">IFERROR(__xludf.DUMMYFUNCTION("""COMPUTED_VALUE"""),"IDA Base")</f>
        <v>IDA Base</v>
      </c>
      <c r="D44" s="8" t="str">
        <f ca="1">IFERROR(__xludf.DUMMYFUNCTION("""COMPUTED_VALUE"""),"Recurring")</f>
        <v>Recurring</v>
      </c>
      <c r="E44" s="9" t="str">
        <f ca="1">IFERROR(__xludf.DUMMYFUNCTION("""COMPUTED_VALUE"""),"Igloo Igloo Digital Assistant - Base Package")</f>
        <v>Igloo Igloo Digital Assistant - Base Package</v>
      </c>
      <c r="F44" s="10" t="str">
        <f ca="1">IFERROR(__xludf.DUMMYFUNCTION("""COMPUTED_VALUE"""),"GBP")</f>
        <v>GBP</v>
      </c>
      <c r="G44" s="8">
        <f ca="1">IFERROR(__xludf.DUMMYFUNCTION("""COMPUTED_VALUE"""),0.42)</f>
        <v>0.42</v>
      </c>
      <c r="H44" s="10">
        <f ca="1">IFERROR(__xludf.DUMMYFUNCTION("""COMPUTED_VALUE"""),5.04)</f>
        <v>5.04</v>
      </c>
    </row>
    <row r="45" spans="1:8">
      <c r="A45" s="8" t="str">
        <f ca="1">IFERROR(__xludf.DUMMYFUNCTION("""COMPUTED_VALUE"""),"AS-IG-AO-IDA-FL-HRIS")</f>
        <v>AS-IG-AO-IDA-FL-HRIS</v>
      </c>
      <c r="B45" s="8" t="str">
        <f ca="1">IFERROR(__xludf.DUMMYFUNCTION("""COMPUTED_VALUE"""),"Quarterly Plan AS-IG-AO-IDA-FL-HRIS")</f>
        <v>Quarterly Plan AS-IG-AO-IDA-FL-HRIS</v>
      </c>
      <c r="C45" s="9" t="str">
        <f ca="1">IFERROR(__xludf.DUMMYFUNCTION("""COMPUTED_VALUE"""),"Flex IDA HRIS")</f>
        <v>Flex IDA HRIS</v>
      </c>
      <c r="D45" s="8" t="str">
        <f ca="1">IFERROR(__xludf.DUMMYFUNCTION("""COMPUTED_VALUE"""),"Recurring")</f>
        <v>Recurring</v>
      </c>
      <c r="E45" s="9" t="str">
        <f ca="1">IFERROR(__xludf.DUMMYFUNCTION("""COMPUTED_VALUE"""),"Igloo Flex Digital Assistant - HRIS Package")</f>
        <v>Igloo Flex Digital Assistant - HRIS Package</v>
      </c>
      <c r="F45" s="10" t="str">
        <f ca="1">IFERROR(__xludf.DUMMYFUNCTION("""COMPUTED_VALUE"""),"GBP")</f>
        <v>GBP</v>
      </c>
      <c r="G45" s="8">
        <f ca="1">IFERROR(__xludf.DUMMYFUNCTION("""COMPUTED_VALUE"""),0.61)</f>
        <v>0.61</v>
      </c>
      <c r="H45" s="10">
        <f ca="1">IFERROR(__xludf.DUMMYFUNCTION("""COMPUTED_VALUE"""),7.32)</f>
        <v>7.32</v>
      </c>
    </row>
    <row r="46" spans="1:8">
      <c r="A46" s="8" t="str">
        <f ca="1">IFERROR(__xludf.DUMMYFUNCTION("""COMPUTED_VALUE"""),"AS-IG-AO-IDA-FL-HRIS")</f>
        <v>AS-IG-AO-IDA-FL-HRIS</v>
      </c>
      <c r="B46" s="8" t="str">
        <f ca="1">IFERROR(__xludf.DUMMYFUNCTION("""COMPUTED_VALUE"""),"Annual Plan AS-IG-AO-IDA-FL-HRIS")</f>
        <v>Annual Plan AS-IG-AO-IDA-FL-HRIS</v>
      </c>
      <c r="C46" s="9" t="str">
        <f ca="1">IFERROR(__xludf.DUMMYFUNCTION("""COMPUTED_VALUE"""),"Flex IDA HRIS")</f>
        <v>Flex IDA HRIS</v>
      </c>
      <c r="D46" s="8" t="str">
        <f ca="1">IFERROR(__xludf.DUMMYFUNCTION("""COMPUTED_VALUE"""),"Recurring")</f>
        <v>Recurring</v>
      </c>
      <c r="E46" s="9" t="str">
        <f ca="1">IFERROR(__xludf.DUMMYFUNCTION("""COMPUTED_VALUE"""),"Igloo Flex Digital Assistant - HRIS Package")</f>
        <v>Igloo Flex Digital Assistant - HRIS Package</v>
      </c>
      <c r="F46" s="10" t="str">
        <f ca="1">IFERROR(__xludf.DUMMYFUNCTION("""COMPUTED_VALUE"""),"GBP")</f>
        <v>GBP</v>
      </c>
      <c r="G46" s="10">
        <f ca="1">IFERROR(__xludf.DUMMYFUNCTION("""COMPUTED_VALUE"""),0.61)</f>
        <v>0.61</v>
      </c>
      <c r="H46" s="10">
        <f ca="1">IFERROR(__xludf.DUMMYFUNCTION("""COMPUTED_VALUE"""),7.32)</f>
        <v>7.32</v>
      </c>
    </row>
    <row r="47" spans="1:8">
      <c r="A47" s="8" t="str">
        <f ca="1">IFERROR(__xludf.DUMMYFUNCTION("""COMPUTED_VALUE"""),"AS-IG-AO-IDA-HRIS")</f>
        <v>AS-IG-AO-IDA-HRIS</v>
      </c>
      <c r="B47" s="8" t="str">
        <f ca="1">IFERROR(__xludf.DUMMYFUNCTION("""COMPUTED_VALUE"""),"Annual Plan AS-IG-AO-IDA-HRIS")</f>
        <v>Annual Plan AS-IG-AO-IDA-HRIS</v>
      </c>
      <c r="C47" s="9" t="str">
        <f ca="1">IFERROR(__xludf.DUMMYFUNCTION("""COMPUTED_VALUE"""),"IDA HRIS")</f>
        <v>IDA HRIS</v>
      </c>
      <c r="D47" s="8" t="str">
        <f ca="1">IFERROR(__xludf.DUMMYFUNCTION("""COMPUTED_VALUE"""),"Recurring")</f>
        <v>Recurring</v>
      </c>
      <c r="E47" s="9" t="str">
        <f ca="1">IFERROR(__xludf.DUMMYFUNCTION("""COMPUTED_VALUE"""),"Igloo Igloo Digital Assistant - HRIS Package")</f>
        <v>Igloo Igloo Digital Assistant - HRIS Package</v>
      </c>
      <c r="F47" s="10" t="str">
        <f ca="1">IFERROR(__xludf.DUMMYFUNCTION("""COMPUTED_VALUE"""),"GBP")</f>
        <v>GBP</v>
      </c>
      <c r="G47" s="10">
        <f ca="1">IFERROR(__xludf.DUMMYFUNCTION("""COMPUTED_VALUE"""),0.07)</f>
        <v>7.0000000000000007E-2</v>
      </c>
      <c r="H47" s="10">
        <f ca="1">IFERROR(__xludf.DUMMYFUNCTION("""COMPUTED_VALUE"""),0.84)</f>
        <v>0.84</v>
      </c>
    </row>
    <row r="48" spans="1:8">
      <c r="A48" s="8" t="str">
        <f ca="1">IFERROR(__xludf.DUMMYFUNCTION("""COMPUTED_VALUE"""),"AS-IG-AO-IDA-HRIS")</f>
        <v>AS-IG-AO-IDA-HRIS</v>
      </c>
      <c r="B48" s="8" t="str">
        <f ca="1">IFERROR(__xludf.DUMMYFUNCTION("""COMPUTED_VALUE"""),"Quarterly Plan AS-IG-AO-IDA-HRIS")</f>
        <v>Quarterly Plan AS-IG-AO-IDA-HRIS</v>
      </c>
      <c r="C48" s="9" t="str">
        <f ca="1">IFERROR(__xludf.DUMMYFUNCTION("""COMPUTED_VALUE"""),"IDA HRIS")</f>
        <v>IDA HRIS</v>
      </c>
      <c r="D48" s="8" t="str">
        <f ca="1">IFERROR(__xludf.DUMMYFUNCTION("""COMPUTED_VALUE"""),"Recurring")</f>
        <v>Recurring</v>
      </c>
      <c r="E48" s="9" t="str">
        <f ca="1">IFERROR(__xludf.DUMMYFUNCTION("""COMPUTED_VALUE"""),"Igloo Igloo Digital Assistant - HRIS Package")</f>
        <v>Igloo Igloo Digital Assistant - HRIS Package</v>
      </c>
      <c r="F48" s="10" t="str">
        <f ca="1">IFERROR(__xludf.DUMMYFUNCTION("""COMPUTED_VALUE"""),"GBP")</f>
        <v>GBP</v>
      </c>
      <c r="G48" s="10">
        <f ca="1">IFERROR(__xludf.DUMMYFUNCTION("""COMPUTED_VALUE"""),0.07)</f>
        <v>7.0000000000000007E-2</v>
      </c>
      <c r="H48" s="10">
        <f ca="1">IFERROR(__xludf.DUMMYFUNCTION("""COMPUTED_VALUE"""),0.84)</f>
        <v>0.84</v>
      </c>
    </row>
    <row r="49" spans="1:8">
      <c r="A49" s="8" t="str">
        <f ca="1">IFERROR(__xludf.DUMMYFUNCTION("""COMPUTED_VALUE"""),"AS-IG-AO-IDS-SL-CM")</f>
        <v>AS-IG-AO-IDS-SL-CM</v>
      </c>
      <c r="B49" s="8" t="str">
        <f ca="1">IFERROR(__xludf.DUMMYFUNCTION("""COMPUTED_VALUE"""),"Quarterly Plan AS-IG-AO-IDS-SL-CM")</f>
        <v>Quarterly Plan AS-IG-AO-IDS-SL-CM</v>
      </c>
      <c r="C49" s="9" t="str">
        <f ca="1">IFERROR(__xludf.DUMMYFUNCTION("""COMPUTED_VALUE"""),"IDS Content Manager")</f>
        <v>IDS Content Manager</v>
      </c>
      <c r="D49" s="8" t="str">
        <f ca="1">IFERROR(__xludf.DUMMYFUNCTION("""COMPUTED_VALUE"""),"Recurring")</f>
        <v>Recurring</v>
      </c>
      <c r="E49" s="9" t="str">
        <f ca="1">IFERROR(__xludf.DUMMYFUNCTION("""COMPUTED_VALUE"""),"Igloo Digital Signage Software License Content Manager")</f>
        <v>Igloo Digital Signage Software License Content Manager</v>
      </c>
      <c r="F49" s="10" t="str">
        <f ca="1">IFERROR(__xludf.DUMMYFUNCTION("""COMPUTED_VALUE"""),"GBP")</f>
        <v>GBP</v>
      </c>
      <c r="G49" s="10">
        <f ca="1">IFERROR(__xludf.DUMMYFUNCTION("""COMPUTED_VALUE"""),838)</f>
        <v>838</v>
      </c>
      <c r="H49" s="10">
        <f ca="1">IFERROR(__xludf.DUMMYFUNCTION("""COMPUTED_VALUE"""),10056)</f>
        <v>10056</v>
      </c>
    </row>
    <row r="50" spans="1:8">
      <c r="A50" s="8" t="str">
        <f ca="1">IFERROR(__xludf.DUMMYFUNCTION("""COMPUTED_VALUE"""),"AS-IG-AO-IDS-SL-CM")</f>
        <v>AS-IG-AO-IDS-SL-CM</v>
      </c>
      <c r="B50" s="8" t="str">
        <f ca="1">IFERROR(__xludf.DUMMYFUNCTION("""COMPUTED_VALUE"""),"Annual Plan AS-IG-AO-IDS-SL-CM")</f>
        <v>Annual Plan AS-IG-AO-IDS-SL-CM</v>
      </c>
      <c r="C50" s="9" t="str">
        <f ca="1">IFERROR(__xludf.DUMMYFUNCTION("""COMPUTED_VALUE"""),"IDS Content Manager")</f>
        <v>IDS Content Manager</v>
      </c>
      <c r="D50" s="8" t="str">
        <f ca="1">IFERROR(__xludf.DUMMYFUNCTION("""COMPUTED_VALUE"""),"Recurring")</f>
        <v>Recurring</v>
      </c>
      <c r="E50" s="9" t="str">
        <f ca="1">IFERROR(__xludf.DUMMYFUNCTION("""COMPUTED_VALUE"""),"Igloo Digital Signage Software License Content Manager")</f>
        <v>Igloo Digital Signage Software License Content Manager</v>
      </c>
      <c r="F50" s="10" t="str">
        <f ca="1">IFERROR(__xludf.DUMMYFUNCTION("""COMPUTED_VALUE"""),"GBP")</f>
        <v>GBP</v>
      </c>
      <c r="G50" s="10">
        <f ca="1">IFERROR(__xludf.DUMMYFUNCTION("""COMPUTED_VALUE"""),838)</f>
        <v>838</v>
      </c>
      <c r="H50" s="10">
        <f ca="1">IFERROR(__xludf.DUMMYFUNCTION("""COMPUTED_VALUE"""),10056)</f>
        <v>10056</v>
      </c>
    </row>
    <row r="51" spans="1:8">
      <c r="A51" s="8" t="str">
        <f ca="1">IFERROR(__xludf.DUMMYFUNCTION("""COMPUTED_VALUE"""),"AS-IG-AO-IDS-SLF-CM")</f>
        <v>AS-IG-AO-IDS-SLF-CM</v>
      </c>
      <c r="B51" s="8" t="str">
        <f ca="1">IFERROR(__xludf.DUMMYFUNCTION("""COMPUTED_VALUE"""),"Quarterly Plan AS-IG-AO-IDS-SLF-CM")</f>
        <v>Quarterly Plan AS-IG-AO-IDS-SLF-CM</v>
      </c>
      <c r="C51" s="9" t="str">
        <f ca="1">IFERROR(__xludf.DUMMYFUNCTION("""COMPUTED_VALUE"""),"Flex IDS Content Manager")</f>
        <v>Flex IDS Content Manager</v>
      </c>
      <c r="D51" s="8" t="str">
        <f ca="1">IFERROR(__xludf.DUMMYFUNCTION("""COMPUTED_VALUE"""),"Recurring")</f>
        <v>Recurring</v>
      </c>
      <c r="E51" s="9" t="str">
        <f ca="1">IFERROR(__xludf.DUMMYFUNCTION("""COMPUTED_VALUE"""),"Igloo Flex Digital Signage Software License Content Manager")</f>
        <v>Igloo Flex Digital Signage Software License Content Manager</v>
      </c>
      <c r="F51" s="10" t="str">
        <f ca="1">IFERROR(__xludf.DUMMYFUNCTION("""COMPUTED_VALUE"""),"GBP")</f>
        <v>GBP</v>
      </c>
      <c r="G51" s="10">
        <f ca="1">IFERROR(__xludf.DUMMYFUNCTION("""COMPUTED_VALUE"""),69.84)</f>
        <v>69.84</v>
      </c>
      <c r="H51" s="10">
        <f ca="1">IFERROR(__xludf.DUMMYFUNCTION("""COMPUTED_VALUE"""),838.08)</f>
        <v>838.08</v>
      </c>
    </row>
    <row r="52" spans="1:8">
      <c r="A52" s="8" t="str">
        <f ca="1">IFERROR(__xludf.DUMMYFUNCTION("""COMPUTED_VALUE"""),"AS-IG-AO-IDS-SLF-CM")</f>
        <v>AS-IG-AO-IDS-SLF-CM</v>
      </c>
      <c r="B52" s="8" t="str">
        <f ca="1">IFERROR(__xludf.DUMMYFUNCTION("""COMPUTED_VALUE"""),"Annual Plan AS-IG-AO-IDS-SLF-CM")</f>
        <v>Annual Plan AS-IG-AO-IDS-SLF-CM</v>
      </c>
      <c r="C52" s="9" t="str">
        <f ca="1">IFERROR(__xludf.DUMMYFUNCTION("""COMPUTED_VALUE"""),"Flex IDS Content Manager")</f>
        <v>Flex IDS Content Manager</v>
      </c>
      <c r="D52" s="8" t="str">
        <f ca="1">IFERROR(__xludf.DUMMYFUNCTION("""COMPUTED_VALUE"""),"Recurring")</f>
        <v>Recurring</v>
      </c>
      <c r="E52" s="9" t="str">
        <f ca="1">IFERROR(__xludf.DUMMYFUNCTION("""COMPUTED_VALUE"""),"Igloo Flex Digital Signage Software License Content Manager")</f>
        <v>Igloo Flex Digital Signage Software License Content Manager</v>
      </c>
      <c r="F52" s="10" t="str">
        <f ca="1">IFERROR(__xludf.DUMMYFUNCTION("""COMPUTED_VALUE"""),"GBP")</f>
        <v>GBP</v>
      </c>
      <c r="G52" s="10">
        <f ca="1">IFERROR(__xludf.DUMMYFUNCTION("""COMPUTED_VALUE"""),69.84)</f>
        <v>69.84</v>
      </c>
      <c r="H52" s="10">
        <f ca="1">IFERROR(__xludf.DUMMYFUNCTION("""COMPUTED_VALUE"""),838.08)</f>
        <v>838.08</v>
      </c>
    </row>
    <row r="53" spans="1:8">
      <c r="A53" s="8" t="str">
        <f ca="1">IFERROR(__xludf.DUMMYFUNCTION("""COMPUTED_VALUE"""),"AS-IG-AO-IDS-SLF-SPO")</f>
        <v>AS-IG-AO-IDS-SLF-SPO</v>
      </c>
      <c r="B53" s="8" t="str">
        <f ca="1">IFERROR(__xludf.DUMMYFUNCTION("""COMPUTED_VALUE"""),"Annual Plan AS-IG-AO-IDS-SLF-SPO")</f>
        <v>Annual Plan AS-IG-AO-IDS-SLF-SPO</v>
      </c>
      <c r="C53" s="9" t="str">
        <f ca="1">IFERROR(__xludf.DUMMYFUNCTION("""COMPUTED_VALUE"""),"Flex IDS Player License")</f>
        <v>Flex IDS Player License</v>
      </c>
      <c r="D53" s="8" t="str">
        <f ca="1">IFERROR(__xludf.DUMMYFUNCTION("""COMPUTED_VALUE"""),"Recurring")</f>
        <v>Recurring</v>
      </c>
      <c r="E53" s="9" t="str">
        <f ca="1">IFERROR(__xludf.DUMMYFUNCTION("""COMPUTED_VALUE"""),"Igloo Flex Digital Signage Software License Scala Player One")</f>
        <v>Igloo Flex Digital Signage Software License Scala Player One</v>
      </c>
      <c r="F53" s="10" t="str">
        <f ca="1">IFERROR(__xludf.DUMMYFUNCTION("""COMPUTED_VALUE"""),"GBP")</f>
        <v>GBP</v>
      </c>
      <c r="G53" s="10">
        <f ca="1">IFERROR(__xludf.DUMMYFUNCTION("""COMPUTED_VALUE"""),20.95)</f>
        <v>20.95</v>
      </c>
      <c r="H53" s="10">
        <f ca="1">IFERROR(__xludf.DUMMYFUNCTION("""COMPUTED_VALUE"""),251.4)</f>
        <v>251.4</v>
      </c>
    </row>
    <row r="54" spans="1:8">
      <c r="A54" s="8" t="str">
        <f ca="1">IFERROR(__xludf.DUMMYFUNCTION("""COMPUTED_VALUE"""),"AS-IG-AO-IDS-SLF-SPO")</f>
        <v>AS-IG-AO-IDS-SLF-SPO</v>
      </c>
      <c r="B54" s="8" t="str">
        <f ca="1">IFERROR(__xludf.DUMMYFUNCTION("""COMPUTED_VALUE"""),"Quarterly Plan AS-IG-AO-IDS-SLF-SPO")</f>
        <v>Quarterly Plan AS-IG-AO-IDS-SLF-SPO</v>
      </c>
      <c r="C54" s="9" t="str">
        <f ca="1">IFERROR(__xludf.DUMMYFUNCTION("""COMPUTED_VALUE"""),"Flex IDS Player License")</f>
        <v>Flex IDS Player License</v>
      </c>
      <c r="D54" s="8" t="str">
        <f ca="1">IFERROR(__xludf.DUMMYFUNCTION("""COMPUTED_VALUE"""),"Recurring")</f>
        <v>Recurring</v>
      </c>
      <c r="E54" s="9" t="str">
        <f ca="1">IFERROR(__xludf.DUMMYFUNCTION("""COMPUTED_VALUE"""),"Igloo Flex Digital Signage Software License Scala Player One")</f>
        <v>Igloo Flex Digital Signage Software License Scala Player One</v>
      </c>
      <c r="F54" s="10" t="str">
        <f ca="1">IFERROR(__xludf.DUMMYFUNCTION("""COMPUTED_VALUE"""),"GBP")</f>
        <v>GBP</v>
      </c>
      <c r="G54" s="10">
        <f ca="1">IFERROR(__xludf.DUMMYFUNCTION("""COMPUTED_VALUE"""),20.95)</f>
        <v>20.95</v>
      </c>
      <c r="H54" s="10">
        <f ca="1">IFERROR(__xludf.DUMMYFUNCTION("""COMPUTED_VALUE"""),251.4)</f>
        <v>251.4</v>
      </c>
    </row>
    <row r="55" spans="1:8">
      <c r="A55" s="8" t="str">
        <f ca="1">IFERROR(__xludf.DUMMYFUNCTION("""COMPUTED_VALUE"""),"AS-IG-AO-IDS-SL-SPO")</f>
        <v>AS-IG-AO-IDS-SL-SPO</v>
      </c>
      <c r="B55" s="8" t="str">
        <f ca="1">IFERROR(__xludf.DUMMYFUNCTION("""COMPUTED_VALUE"""),"Quarterly Plan AS-IG-AO-IDS-SL-SPO")</f>
        <v>Quarterly Plan AS-IG-AO-IDS-SL-SPO</v>
      </c>
      <c r="C55" s="9" t="str">
        <f ca="1">IFERROR(__xludf.DUMMYFUNCTION("""COMPUTED_VALUE"""),"IDS Player License")</f>
        <v>IDS Player License</v>
      </c>
      <c r="D55" s="8" t="str">
        <f ca="1">IFERROR(__xludf.DUMMYFUNCTION("""COMPUTED_VALUE"""),"Recurring")</f>
        <v>Recurring</v>
      </c>
      <c r="E55" s="9" t="str">
        <f ca="1">IFERROR(__xludf.DUMMYFUNCTION("""COMPUTED_VALUE"""),"Igloo Digital Signage Software License Scala Player One")</f>
        <v>Igloo Digital Signage Software License Scala Player One</v>
      </c>
      <c r="F55" s="10" t="str">
        <f ca="1">IFERROR(__xludf.DUMMYFUNCTION("""COMPUTED_VALUE"""),"GBP")</f>
        <v>GBP</v>
      </c>
      <c r="G55" s="10">
        <f ca="1">IFERROR(__xludf.DUMMYFUNCTION("""COMPUTED_VALUE"""),251)</f>
        <v>251</v>
      </c>
      <c r="H55" s="10">
        <f ca="1">IFERROR(__xludf.DUMMYFUNCTION("""COMPUTED_VALUE"""),3012)</f>
        <v>3012</v>
      </c>
    </row>
    <row r="56" spans="1:8">
      <c r="A56" s="8" t="str">
        <f ca="1">IFERROR(__xludf.DUMMYFUNCTION("""COMPUTED_VALUE"""),"AS-IG-AO-IDS-SL-SPO")</f>
        <v>AS-IG-AO-IDS-SL-SPO</v>
      </c>
      <c r="B56" s="8" t="str">
        <f ca="1">IFERROR(__xludf.DUMMYFUNCTION("""COMPUTED_VALUE"""),"Annual Plan AS-IG-AO-IDS-SL-SPO")</f>
        <v>Annual Plan AS-IG-AO-IDS-SL-SPO</v>
      </c>
      <c r="C56" s="9" t="str">
        <f ca="1">IFERROR(__xludf.DUMMYFUNCTION("""COMPUTED_VALUE"""),"IDS Player License")</f>
        <v>IDS Player License</v>
      </c>
      <c r="D56" s="8" t="str">
        <f ca="1">IFERROR(__xludf.DUMMYFUNCTION("""COMPUTED_VALUE"""),"Recurring")</f>
        <v>Recurring</v>
      </c>
      <c r="E56" s="9" t="str">
        <f ca="1">IFERROR(__xludf.DUMMYFUNCTION("""COMPUTED_VALUE"""),"Igloo Digital Signage Software License Scala Player One")</f>
        <v>Igloo Digital Signage Software License Scala Player One</v>
      </c>
      <c r="F56" s="10" t="str">
        <f ca="1">IFERROR(__xludf.DUMMYFUNCTION("""COMPUTED_VALUE"""),"GBP")</f>
        <v>GBP</v>
      </c>
      <c r="G56" s="10">
        <f ca="1">IFERROR(__xludf.DUMMYFUNCTION("""COMPUTED_VALUE"""),251)</f>
        <v>251</v>
      </c>
      <c r="H56" s="10">
        <f ca="1">IFERROR(__xludf.DUMMYFUNCTION("""COMPUTED_VALUE"""),3012)</f>
        <v>3012</v>
      </c>
    </row>
    <row r="57" spans="1:8">
      <c r="A57" s="8" t="str">
        <f ca="1">IFERROR(__xludf.DUMMYFUNCTION("""COMPUTED_VALUE"""),"AS-IG-AO-IMBE-1")</f>
        <v>AS-IG-AO-IMBE-1</v>
      </c>
      <c r="B57" s="8" t="str">
        <f ca="1">IFERROR(__xludf.DUMMYFUNCTION("""COMPUTED_VALUE"""),"Quarterly Plan AS-IG-AO-IMBE-1")</f>
        <v>Quarterly Plan AS-IG-AO-IMBE-1</v>
      </c>
      <c r="C57" s="9" t="str">
        <f ca="1">IFERROR(__xludf.DUMMYFUNCTION("""COMPUTED_VALUE"""),"Branded Mobile")</f>
        <v>Branded Mobile</v>
      </c>
      <c r="D57" s="8" t="str">
        <f ca="1">IFERROR(__xludf.DUMMYFUNCTION("""COMPUTED_VALUE"""),"Recurring")</f>
        <v>Recurring</v>
      </c>
      <c r="E57" s="9" t="str">
        <f ca="1">IFERROR(__xludf.DUMMYFUNCTION("""COMPUTED_VALUE"""),"Igloo Mobile Branded Edition - Pkg 1")</f>
        <v>Igloo Mobile Branded Edition - Pkg 1</v>
      </c>
      <c r="F57" s="10" t="str">
        <f ca="1">IFERROR(__xludf.DUMMYFUNCTION("""COMPUTED_VALUE"""),"GBP")</f>
        <v>GBP</v>
      </c>
      <c r="G57" s="8">
        <f ca="1">IFERROR(__xludf.DUMMYFUNCTION("""COMPUTED_VALUE"""),698)</f>
        <v>698</v>
      </c>
      <c r="H57" s="10">
        <f ca="1">IFERROR(__xludf.DUMMYFUNCTION("""COMPUTED_VALUE"""),8376)</f>
        <v>8376</v>
      </c>
    </row>
    <row r="58" spans="1:8">
      <c r="A58" s="8" t="str">
        <f ca="1">IFERROR(__xludf.DUMMYFUNCTION("""COMPUTED_VALUE"""),"AS-IG-AO-IMBE-1")</f>
        <v>AS-IG-AO-IMBE-1</v>
      </c>
      <c r="B58" s="8" t="str">
        <f ca="1">IFERROR(__xludf.DUMMYFUNCTION("""COMPUTED_VALUE"""),"Annual Plan AS-IG-AO-IMBE-1")</f>
        <v>Annual Plan AS-IG-AO-IMBE-1</v>
      </c>
      <c r="C58" s="9" t="str">
        <f ca="1">IFERROR(__xludf.DUMMYFUNCTION("""COMPUTED_VALUE"""),"Branded Mobile")</f>
        <v>Branded Mobile</v>
      </c>
      <c r="D58" s="8" t="str">
        <f ca="1">IFERROR(__xludf.DUMMYFUNCTION("""COMPUTED_VALUE"""),"Recurring")</f>
        <v>Recurring</v>
      </c>
      <c r="E58" s="9" t="str">
        <f ca="1">IFERROR(__xludf.DUMMYFUNCTION("""COMPUTED_VALUE"""),"Igloo Mobile Branded Edition - Pkg 1")</f>
        <v>Igloo Mobile Branded Edition - Pkg 1</v>
      </c>
      <c r="F58" s="10" t="str">
        <f ca="1">IFERROR(__xludf.DUMMYFUNCTION("""COMPUTED_VALUE"""),"GBP")</f>
        <v>GBP</v>
      </c>
      <c r="G58" s="8">
        <f ca="1">IFERROR(__xludf.DUMMYFUNCTION("""COMPUTED_VALUE"""),698)</f>
        <v>698</v>
      </c>
      <c r="H58" s="10">
        <f ca="1">IFERROR(__xludf.DUMMYFUNCTION("""COMPUTED_VALUE"""),8376)</f>
        <v>8376</v>
      </c>
    </row>
    <row r="59" spans="1:8">
      <c r="A59" s="8" t="str">
        <f ca="1">IFERROR(__xludf.DUMMYFUNCTION("""COMPUTED_VALUE"""),"AS-IG-AO-IMBE-2")</f>
        <v>AS-IG-AO-IMBE-2</v>
      </c>
      <c r="B59" s="8" t="str">
        <f ca="1">IFERROR(__xludf.DUMMYFUNCTION("""COMPUTED_VALUE"""),"Quarterly Plan AS-IG-AO-IMBE-2")</f>
        <v>Quarterly Plan AS-IG-AO-IMBE-2</v>
      </c>
      <c r="C59" s="9" t="str">
        <f ca="1">IFERROR(__xludf.DUMMYFUNCTION("""COMPUTED_VALUE"""),"Branded Mobile")</f>
        <v>Branded Mobile</v>
      </c>
      <c r="D59" s="8" t="str">
        <f ca="1">IFERROR(__xludf.DUMMYFUNCTION("""COMPUTED_VALUE"""),"Recurring")</f>
        <v>Recurring</v>
      </c>
      <c r="E59" s="9" t="str">
        <f ca="1">IFERROR(__xludf.DUMMYFUNCTION("""COMPUTED_VALUE"""),"Igloo Mobile Branded Edition - Pkg 2")</f>
        <v>Igloo Mobile Branded Edition - Pkg 2</v>
      </c>
      <c r="F59" s="10" t="str">
        <f ca="1">IFERROR(__xludf.DUMMYFUNCTION("""COMPUTED_VALUE"""),"GBP")</f>
        <v>GBP</v>
      </c>
      <c r="G59" s="8">
        <f ca="1">IFERROR(__xludf.DUMMYFUNCTION("""COMPUTED_VALUE"""),1048)</f>
        <v>1048</v>
      </c>
      <c r="H59" s="10">
        <f ca="1">IFERROR(__xludf.DUMMYFUNCTION("""COMPUTED_VALUE"""),12576)</f>
        <v>12576</v>
      </c>
    </row>
    <row r="60" spans="1:8">
      <c r="A60" s="8" t="str">
        <f ca="1">IFERROR(__xludf.DUMMYFUNCTION("""COMPUTED_VALUE"""),"AS-IG-AO-IMBE-2")</f>
        <v>AS-IG-AO-IMBE-2</v>
      </c>
      <c r="B60" s="8" t="str">
        <f ca="1">IFERROR(__xludf.DUMMYFUNCTION("""COMPUTED_VALUE"""),"Annual Plan AS-IG-AO-IMBE-2")</f>
        <v>Annual Plan AS-IG-AO-IMBE-2</v>
      </c>
      <c r="C60" s="9" t="str">
        <f ca="1">IFERROR(__xludf.DUMMYFUNCTION("""COMPUTED_VALUE"""),"Branded Mobile")</f>
        <v>Branded Mobile</v>
      </c>
      <c r="D60" s="8" t="str">
        <f ca="1">IFERROR(__xludf.DUMMYFUNCTION("""COMPUTED_VALUE"""),"Recurring")</f>
        <v>Recurring</v>
      </c>
      <c r="E60" s="9" t="str">
        <f ca="1">IFERROR(__xludf.DUMMYFUNCTION("""COMPUTED_VALUE"""),"Igloo Mobile Branded Edition - Pkg 2")</f>
        <v>Igloo Mobile Branded Edition - Pkg 2</v>
      </c>
      <c r="F60" s="10" t="str">
        <f ca="1">IFERROR(__xludf.DUMMYFUNCTION("""COMPUTED_VALUE"""),"GBP")</f>
        <v>GBP</v>
      </c>
      <c r="G60" s="8">
        <f ca="1">IFERROR(__xludf.DUMMYFUNCTION("""COMPUTED_VALUE"""),1048)</f>
        <v>1048</v>
      </c>
      <c r="H60" s="10">
        <f ca="1">IFERROR(__xludf.DUMMYFUNCTION("""COMPUTED_VALUE"""),12576)</f>
        <v>12576</v>
      </c>
    </row>
    <row r="61" spans="1:8">
      <c r="A61" s="8" t="str">
        <f ca="1">IFERROR(__xludf.DUMMYFUNCTION("""COMPUTED_VALUE"""),"AS-IG-AO-IMBE-3")</f>
        <v>AS-IG-AO-IMBE-3</v>
      </c>
      <c r="B61" s="8" t="str">
        <f ca="1">IFERROR(__xludf.DUMMYFUNCTION("""COMPUTED_VALUE"""),"Quarterly Plan AS-IG-AO-IMBE-3")</f>
        <v>Quarterly Plan AS-IG-AO-IMBE-3</v>
      </c>
      <c r="C61" s="9" t="str">
        <f ca="1">IFERROR(__xludf.DUMMYFUNCTION("""COMPUTED_VALUE"""),"Branded Mobile")</f>
        <v>Branded Mobile</v>
      </c>
      <c r="D61" s="8" t="str">
        <f ca="1">IFERROR(__xludf.DUMMYFUNCTION("""COMPUTED_VALUE"""),"Recurring")</f>
        <v>Recurring</v>
      </c>
      <c r="E61" s="9" t="str">
        <f ca="1">IFERROR(__xludf.DUMMYFUNCTION("""COMPUTED_VALUE"""),"Igloo Mobile Branded Edition - Pkg 3")</f>
        <v>Igloo Mobile Branded Edition - Pkg 3</v>
      </c>
      <c r="F61" s="10" t="str">
        <f ca="1">IFERROR(__xludf.DUMMYFUNCTION("""COMPUTED_VALUE"""),"GBP")</f>
        <v>GBP</v>
      </c>
      <c r="G61" s="8">
        <f ca="1">IFERROR(__xludf.DUMMYFUNCTION("""COMPUTED_VALUE"""),1746)</f>
        <v>1746</v>
      </c>
      <c r="H61" s="10">
        <f ca="1">IFERROR(__xludf.DUMMYFUNCTION("""COMPUTED_VALUE"""),20952)</f>
        <v>20952</v>
      </c>
    </row>
    <row r="62" spans="1:8">
      <c r="A62" s="8" t="str">
        <f ca="1">IFERROR(__xludf.DUMMYFUNCTION("""COMPUTED_VALUE"""),"AS-IG-AO-IMBE-3")</f>
        <v>AS-IG-AO-IMBE-3</v>
      </c>
      <c r="B62" s="8" t="str">
        <f ca="1">IFERROR(__xludf.DUMMYFUNCTION("""COMPUTED_VALUE"""),"Annual Plan AS-IG-AO-IMBE-3")</f>
        <v>Annual Plan AS-IG-AO-IMBE-3</v>
      </c>
      <c r="C62" s="9" t="str">
        <f ca="1">IFERROR(__xludf.DUMMYFUNCTION("""COMPUTED_VALUE"""),"Branded Mobile")</f>
        <v>Branded Mobile</v>
      </c>
      <c r="D62" s="8" t="str">
        <f ca="1">IFERROR(__xludf.DUMMYFUNCTION("""COMPUTED_VALUE"""),"Recurring")</f>
        <v>Recurring</v>
      </c>
      <c r="E62" s="9" t="str">
        <f ca="1">IFERROR(__xludf.DUMMYFUNCTION("""COMPUTED_VALUE"""),"Igloo Mobile Branded Edition - Pkg 3")</f>
        <v>Igloo Mobile Branded Edition - Pkg 3</v>
      </c>
      <c r="F62" s="8" t="str">
        <f ca="1">IFERROR(__xludf.DUMMYFUNCTION("""COMPUTED_VALUE"""),"GBP")</f>
        <v>GBP</v>
      </c>
      <c r="G62" s="10">
        <f ca="1">IFERROR(__xludf.DUMMYFUNCTION("""COMPUTED_VALUE"""),1746)</f>
        <v>1746</v>
      </c>
      <c r="H62" s="10">
        <f ca="1">IFERROR(__xludf.DUMMYFUNCTION("""COMPUTED_VALUE"""),20952)</f>
        <v>20952</v>
      </c>
    </row>
    <row r="63" spans="1:8">
      <c r="A63" s="8" t="str">
        <f ca="1">IFERROR(__xludf.DUMMYFUNCTION("""COMPUTED_VALUE"""),"AS-IG-AO-IN-PB")</f>
        <v>AS-IG-AO-IN-PB</v>
      </c>
      <c r="B63" s="8" t="str">
        <f ca="1">IFERROR(__xludf.DUMMYFUNCTION("""COMPUTED_VALUE"""),"Quarterly Plan AS-IG-AO-IN-PB")</f>
        <v>Quarterly Plan AS-IG-AO-IN-PB</v>
      </c>
      <c r="C63" s="9" t="str">
        <f ca="1">IFERROR(__xludf.DUMMYFUNCTION("""COMPUTED_VALUE"""),"Insights Program Bundle")</f>
        <v>Insights Program Bundle</v>
      </c>
      <c r="D63" s="8" t="str">
        <f ca="1">IFERROR(__xludf.DUMMYFUNCTION("""COMPUTED_VALUE"""),"Recurring")</f>
        <v>Recurring</v>
      </c>
      <c r="E63" s="9" t="str">
        <f ca="1">IFERROR(__xludf.DUMMYFUNCTION("""COMPUTED_VALUE"""),"Insights Program Bundle")</f>
        <v>Insights Program Bundle</v>
      </c>
      <c r="F63" s="10" t="str">
        <f ca="1">IFERROR(__xludf.DUMMYFUNCTION("""COMPUTED_VALUE"""),"GBP")</f>
        <v>GBP</v>
      </c>
      <c r="G63" s="10">
        <f ca="1">IFERROR(__xludf.DUMMYFUNCTION("""COMPUTED_VALUE"""),279)</f>
        <v>279</v>
      </c>
      <c r="H63" s="10">
        <f ca="1">IFERROR(__xludf.DUMMYFUNCTION("""COMPUTED_VALUE"""),3348)</f>
        <v>3348</v>
      </c>
    </row>
    <row r="64" spans="1:8">
      <c r="A64" s="8" t="str">
        <f ca="1">IFERROR(__xludf.DUMMYFUNCTION("""COMPUTED_VALUE"""),"AS-IG-AO-IN-PB")</f>
        <v>AS-IG-AO-IN-PB</v>
      </c>
      <c r="B64" s="8" t="str">
        <f ca="1">IFERROR(__xludf.DUMMYFUNCTION("""COMPUTED_VALUE"""),"Annual Plan AS-IG-AO-IN-PB")</f>
        <v>Annual Plan AS-IG-AO-IN-PB</v>
      </c>
      <c r="C64" s="9" t="str">
        <f ca="1">IFERROR(__xludf.DUMMYFUNCTION("""COMPUTED_VALUE"""),"Insights Program Bundle")</f>
        <v>Insights Program Bundle</v>
      </c>
      <c r="D64" s="8" t="str">
        <f ca="1">IFERROR(__xludf.DUMMYFUNCTION("""COMPUTED_VALUE"""),"Recurring")</f>
        <v>Recurring</v>
      </c>
      <c r="E64" s="9" t="str">
        <f ca="1">IFERROR(__xludf.DUMMYFUNCTION("""COMPUTED_VALUE"""),"Insights Program Bundle")</f>
        <v>Insights Program Bundle</v>
      </c>
      <c r="F64" s="10" t="str">
        <f ca="1">IFERROR(__xludf.DUMMYFUNCTION("""COMPUTED_VALUE"""),"GBP")</f>
        <v>GBP</v>
      </c>
      <c r="G64" s="10">
        <f ca="1">IFERROR(__xludf.DUMMYFUNCTION("""COMPUTED_VALUE"""),279)</f>
        <v>279</v>
      </c>
      <c r="H64" s="10">
        <f ca="1">IFERROR(__xludf.DUMMYFUNCTION("""COMPUTED_VALUE"""),3348)</f>
        <v>3348</v>
      </c>
    </row>
    <row r="65" spans="1:8">
      <c r="A65" s="8" t="str">
        <f ca="1">IFERROR(__xludf.DUMMYFUNCTION("""COMPUTED_VALUE"""),"AS-IG-AO-M-PP")</f>
        <v>AS-IG-AO-M-PP</v>
      </c>
      <c r="B65" s="8" t="str">
        <f ca="1">IFERROR(__xludf.DUMMYFUNCTION("""COMPUTED_VALUE"""),"Quarterly Plan AS-IG-AO-M-PP")</f>
        <v>Quarterly Plan AS-IG-AO-M-PP</v>
      </c>
      <c r="C65" s="9" t="str">
        <f ca="1">IFERROR(__xludf.DUMMYFUNCTION("""COMPUTED_VALUE"""),"Premium Profiles")</f>
        <v>Premium Profiles</v>
      </c>
      <c r="D65" s="8" t="str">
        <f ca="1">IFERROR(__xludf.DUMMYFUNCTION("""COMPUTED_VALUE"""),"Recurring")</f>
        <v>Recurring</v>
      </c>
      <c r="E65" s="9" t="str">
        <f ca="1">IFERROR(__xludf.DUMMYFUNCTION("""COMPUTED_VALUE"""),"Module: Premium Profiles")</f>
        <v>Module: Premium Profiles</v>
      </c>
      <c r="F65" s="10" t="str">
        <f ca="1">IFERROR(__xludf.DUMMYFUNCTION("""COMPUTED_VALUE"""),"GBP")</f>
        <v>GBP</v>
      </c>
      <c r="G65" s="10">
        <f ca="1">IFERROR(__xludf.DUMMYFUNCTION("""COMPUTED_VALUE"""),175)</f>
        <v>175</v>
      </c>
      <c r="H65" s="10">
        <f ca="1">IFERROR(__xludf.DUMMYFUNCTION("""COMPUTED_VALUE"""),2100)</f>
        <v>2100</v>
      </c>
    </row>
    <row r="66" spans="1:8">
      <c r="A66" s="8" t="str">
        <f ca="1">IFERROR(__xludf.DUMMYFUNCTION("""COMPUTED_VALUE"""),"AS-IG-AO-M-PP")</f>
        <v>AS-IG-AO-M-PP</v>
      </c>
      <c r="B66" s="8" t="str">
        <f ca="1">IFERROR(__xludf.DUMMYFUNCTION("""COMPUTED_VALUE"""),"Annual Plan AS-IG-AO-M-PP")</f>
        <v>Annual Plan AS-IG-AO-M-PP</v>
      </c>
      <c r="C66" s="9" t="str">
        <f ca="1">IFERROR(__xludf.DUMMYFUNCTION("""COMPUTED_VALUE"""),"Premium Profiles")</f>
        <v>Premium Profiles</v>
      </c>
      <c r="D66" s="8" t="str">
        <f ca="1">IFERROR(__xludf.DUMMYFUNCTION("""COMPUTED_VALUE"""),"Recurring")</f>
        <v>Recurring</v>
      </c>
      <c r="E66" s="9" t="str">
        <f ca="1">IFERROR(__xludf.DUMMYFUNCTION("""COMPUTED_VALUE"""),"Module: Premium Profiles")</f>
        <v>Module: Premium Profiles</v>
      </c>
      <c r="F66" s="10" t="str">
        <f ca="1">IFERROR(__xludf.DUMMYFUNCTION("""COMPUTED_VALUE"""),"GBP")</f>
        <v>GBP</v>
      </c>
      <c r="G66" s="10">
        <f ca="1">IFERROR(__xludf.DUMMYFUNCTION("""COMPUTED_VALUE"""),175)</f>
        <v>175</v>
      </c>
      <c r="H66" s="10">
        <f ca="1">IFERROR(__xludf.DUMMYFUNCTION("""COMPUTED_VALUE"""),2100)</f>
        <v>2100</v>
      </c>
    </row>
    <row r="67" spans="1:8">
      <c r="A67" s="8" t="str">
        <f ca="1">IFERROR(__xludf.DUMMYFUNCTION("""COMPUTED_VALUE"""),"AS-IG-AO-RECC-P")</f>
        <v>AS-IG-AO-RECC-P</v>
      </c>
      <c r="B67" s="8" t="str">
        <f ca="1">IFERROR(__xludf.DUMMYFUNCTION("""COMPUTED_VALUE"""),"Annual Plan AS-IG-AO-RECC-P")</f>
        <v>Annual Plan AS-IG-AO-RECC-P</v>
      </c>
      <c r="C67" s="9" t="str">
        <f ca="1">IFERROR(__xludf.DUMMYFUNCTION("""COMPUTED_VALUE"""),"Rec Center Plus")</f>
        <v>Rec Center Plus</v>
      </c>
      <c r="D67" s="8" t="str">
        <f ca="1">IFERROR(__xludf.DUMMYFUNCTION("""COMPUTED_VALUE"""),"Recurring")</f>
        <v>Recurring</v>
      </c>
      <c r="E67" s="9" t="str">
        <f ca="1">IFERROR(__xludf.DUMMYFUNCTION("""COMPUTED_VALUE"""),"Recognition Center Plus")</f>
        <v>Recognition Center Plus</v>
      </c>
      <c r="F67" s="10" t="str">
        <f ca="1">IFERROR(__xludf.DUMMYFUNCTION("""COMPUTED_VALUE"""),"GBP")</f>
        <v>GBP</v>
      </c>
      <c r="G67" s="10">
        <f ca="1">IFERROR(__xludf.DUMMYFUNCTION("""COMPUTED_VALUE"""),12571)</f>
        <v>12571</v>
      </c>
      <c r="H67" s="10">
        <f ca="1">IFERROR(__xludf.DUMMYFUNCTION("""COMPUTED_VALUE"""),150852)</f>
        <v>150852</v>
      </c>
    </row>
    <row r="68" spans="1:8">
      <c r="A68" s="8" t="str">
        <f ca="1">IFERROR(__xludf.DUMMYFUNCTION("""COMPUTED_VALUE"""),"AS-IG-AO-RECC-P")</f>
        <v>AS-IG-AO-RECC-P</v>
      </c>
      <c r="B68" s="8" t="str">
        <f ca="1">IFERROR(__xludf.DUMMYFUNCTION("""COMPUTED_VALUE"""),"Quarterly Plan AS-IG-AO-RECC-P")</f>
        <v>Quarterly Plan AS-IG-AO-RECC-P</v>
      </c>
      <c r="C68" s="9" t="str">
        <f ca="1">IFERROR(__xludf.DUMMYFUNCTION("""COMPUTED_VALUE"""),"Rec Center Plus")</f>
        <v>Rec Center Plus</v>
      </c>
      <c r="D68" s="8" t="str">
        <f ca="1">IFERROR(__xludf.DUMMYFUNCTION("""COMPUTED_VALUE"""),"Recurring")</f>
        <v>Recurring</v>
      </c>
      <c r="E68" s="9" t="str">
        <f ca="1">IFERROR(__xludf.DUMMYFUNCTION("""COMPUTED_VALUE"""),"Recognition Center Plus")</f>
        <v>Recognition Center Plus</v>
      </c>
      <c r="F68" s="10" t="str">
        <f ca="1">IFERROR(__xludf.DUMMYFUNCTION("""COMPUTED_VALUE"""),"GBP")</f>
        <v>GBP</v>
      </c>
      <c r="G68" s="8">
        <f ca="1">IFERROR(__xludf.DUMMYFUNCTION("""COMPUTED_VALUE"""),12571)</f>
        <v>12571</v>
      </c>
      <c r="H68" s="10">
        <f ca="1">IFERROR(__xludf.DUMMYFUNCTION("""COMPUTED_VALUE"""),150852)</f>
        <v>150852</v>
      </c>
    </row>
    <row r="69" spans="1:8">
      <c r="A69" s="8" t="str">
        <f ca="1">IFERROR(__xludf.DUMMYFUNCTION("""COMPUTED_VALUE"""),"AS-IG-AO-TR-IUL")</f>
        <v>AS-IG-AO-TR-IUL</v>
      </c>
      <c r="B69" s="8" t="str">
        <f ca="1">IFERROR(__xludf.DUMMYFUNCTION("""COMPUTED_VALUE"""),"Quarterly Plan AS-IG-AO-TR-IUL")</f>
        <v>Quarterly Plan AS-IG-AO-TR-IUL</v>
      </c>
      <c r="C69" s="9" t="str">
        <f ca="1">IFERROR(__xludf.DUMMYFUNCTION("""COMPUTED_VALUE"""),"Igloo University License")</f>
        <v>Igloo University License</v>
      </c>
      <c r="D69" s="8" t="str">
        <f ca="1">IFERROR(__xludf.DUMMYFUNCTION("""COMPUTED_VALUE"""),"Recurring")</f>
        <v>Recurring</v>
      </c>
      <c r="E69" s="9" t="str">
        <f ca="1">IFERROR(__xludf.DUMMYFUNCTION("""COMPUTED_VALUE"""),"Igloo University License")</f>
        <v>Igloo University License</v>
      </c>
      <c r="F69" s="10" t="str">
        <f ca="1">IFERROR(__xludf.DUMMYFUNCTION("""COMPUTED_VALUE"""),"GBP")</f>
        <v>GBP</v>
      </c>
      <c r="G69" s="8">
        <f ca="1">IFERROR(__xludf.DUMMYFUNCTION("""COMPUTED_VALUE"""),629)</f>
        <v>629</v>
      </c>
      <c r="H69" s="10">
        <f ca="1">IFERROR(__xludf.DUMMYFUNCTION("""COMPUTED_VALUE"""),7548)</f>
        <v>7548</v>
      </c>
    </row>
    <row r="70" spans="1:8">
      <c r="A70" s="8" t="str">
        <f ca="1">IFERROR(__xludf.DUMMYFUNCTION("""COMPUTED_VALUE"""),"AS-IG-AO-TR-IUL")</f>
        <v>AS-IG-AO-TR-IUL</v>
      </c>
      <c r="B70" s="8" t="str">
        <f ca="1">IFERROR(__xludf.DUMMYFUNCTION("""COMPUTED_VALUE"""),"Annual Plan AS-IG-AO-TR-IUL")</f>
        <v>Annual Plan AS-IG-AO-TR-IUL</v>
      </c>
      <c r="C70" s="9" t="str">
        <f ca="1">IFERROR(__xludf.DUMMYFUNCTION("""COMPUTED_VALUE"""),"Igloo University License")</f>
        <v>Igloo University License</v>
      </c>
      <c r="D70" s="8" t="str">
        <f ca="1">IFERROR(__xludf.DUMMYFUNCTION("""COMPUTED_VALUE"""),"Recurring")</f>
        <v>Recurring</v>
      </c>
      <c r="E70" s="9" t="str">
        <f ca="1">IFERROR(__xludf.DUMMYFUNCTION("""COMPUTED_VALUE"""),"Igloo University License")</f>
        <v>Igloo University License</v>
      </c>
      <c r="F70" s="10" t="str">
        <f ca="1">IFERROR(__xludf.DUMMYFUNCTION("""COMPUTED_VALUE"""),"GBP")</f>
        <v>GBP</v>
      </c>
      <c r="G70" s="10">
        <f ca="1">IFERROR(__xludf.DUMMYFUNCTION("""COMPUTED_VALUE"""),629)</f>
        <v>629</v>
      </c>
      <c r="H70" s="10">
        <f ca="1">IFERROR(__xludf.DUMMYFUNCTION("""COMPUTED_VALUE"""),7548)</f>
        <v>7548</v>
      </c>
    </row>
    <row r="71" spans="1:8">
      <c r="A71" s="8" t="str">
        <f ca="1">IFERROR(__xludf.DUMMYFUNCTION("""COMPUTED_VALUE"""),"AS-IG-DATA-EXPORT")</f>
        <v>AS-IG-DATA-EXPORT</v>
      </c>
      <c r="B71" s="8" t="str">
        <f ca="1">IFERROR(__xludf.DUMMYFUNCTION("""COMPUTED_VALUE"""),"AS-IG-DATA-EXPORT")</f>
        <v>AS-IG-DATA-EXPORT</v>
      </c>
      <c r="C71" s="9" t="str">
        <f ca="1">IFERROR(__xludf.DUMMYFUNCTION("""COMPUTED_VALUE"""),"Data Export")</f>
        <v>Data Export</v>
      </c>
      <c r="D71" s="8" t="str">
        <f ca="1">IFERROR(__xludf.DUMMYFUNCTION("""COMPUTED_VALUE"""),"One-Time")</f>
        <v>One-Time</v>
      </c>
      <c r="E71" s="9" t="str">
        <f ca="1">IFERROR(__xludf.DUMMYFUNCTION("""COMPUTED_VALUE"""),"Data Export")</f>
        <v>Data Export</v>
      </c>
      <c r="F71" s="10" t="str">
        <f ca="1">IFERROR(__xludf.DUMMYFUNCTION("""COMPUTED_VALUE"""),"GBP")</f>
        <v>GBP</v>
      </c>
      <c r="G71" s="10">
        <f ca="1">IFERROR(__xludf.DUMMYFUNCTION("""COMPUTED_VALUE"""),2095)</f>
        <v>2095</v>
      </c>
      <c r="H71" s="10">
        <f ca="1">IFERROR(__xludf.DUMMYFUNCTION("""COMPUTED_VALUE"""),2095)</f>
        <v>2095</v>
      </c>
    </row>
    <row r="72" spans="1:8">
      <c r="A72" s="8" t="str">
        <f ca="1">IFERROR(__xludf.DUMMYFUNCTION("""COMPUTED_VALUE"""),"AS-IG-DWEP-P")</f>
        <v>AS-IG-DWEP-P</v>
      </c>
      <c r="B72" s="8" t="str">
        <f ca="1">IFERROR(__xludf.DUMMYFUNCTION("""COMPUTED_VALUE"""),"Quarterly Plan AS-IG-DWEP-P")</f>
        <v>Quarterly Plan AS-IG-DWEP-P</v>
      </c>
      <c r="C72" s="9" t="str">
        <f ca="1">IFERROR(__xludf.DUMMYFUNCTION("""COMPUTED_VALUE"""),"DWP Excellence Program")</f>
        <v>DWP Excellence Program</v>
      </c>
      <c r="D72" s="8" t="str">
        <f ca="1">IFERROR(__xludf.DUMMYFUNCTION("""COMPUTED_VALUE"""),"Recurring")</f>
        <v>Recurring</v>
      </c>
      <c r="E72" s="9" t="str">
        <f ca="1">IFERROR(__xludf.DUMMYFUNCTION("""COMPUTED_VALUE"""),"Digital Workplace Excellence Program - Pro")</f>
        <v>Digital Workplace Excellence Program - Pro</v>
      </c>
      <c r="F72" s="10" t="str">
        <f ca="1">IFERROR(__xludf.DUMMYFUNCTION("""COMPUTED_VALUE"""),"GBP")</f>
        <v>GBP</v>
      </c>
      <c r="G72" s="10">
        <f ca="1">IFERROR(__xludf.DUMMYFUNCTION("""COMPUTED_VALUE"""),6705)</f>
        <v>6705</v>
      </c>
      <c r="H72" s="10">
        <f ca="1">IFERROR(__xludf.DUMMYFUNCTION("""COMPUTED_VALUE"""),80460)</f>
        <v>80460</v>
      </c>
    </row>
    <row r="73" spans="1:8">
      <c r="A73" s="8" t="str">
        <f ca="1">IFERROR(__xludf.DUMMYFUNCTION("""COMPUTED_VALUE"""),"AS-IG-DWEP-P")</f>
        <v>AS-IG-DWEP-P</v>
      </c>
      <c r="B73" s="8" t="str">
        <f ca="1">IFERROR(__xludf.DUMMYFUNCTION("""COMPUTED_VALUE"""),"Annual Plan AS-IG-DWEP-P")</f>
        <v>Annual Plan AS-IG-DWEP-P</v>
      </c>
      <c r="C73" s="9" t="str">
        <f ca="1">IFERROR(__xludf.DUMMYFUNCTION("""COMPUTED_VALUE"""),"DWP Excellence Program")</f>
        <v>DWP Excellence Program</v>
      </c>
      <c r="D73" s="8" t="str">
        <f ca="1">IFERROR(__xludf.DUMMYFUNCTION("""COMPUTED_VALUE"""),"Recurring")</f>
        <v>Recurring</v>
      </c>
      <c r="E73" s="9" t="str">
        <f ca="1">IFERROR(__xludf.DUMMYFUNCTION("""COMPUTED_VALUE"""),"Digital Workplace Excellence Program - Pro")</f>
        <v>Digital Workplace Excellence Program - Pro</v>
      </c>
      <c r="F73" s="10" t="str">
        <f ca="1">IFERROR(__xludf.DUMMYFUNCTION("""COMPUTED_VALUE"""),"GBP")</f>
        <v>GBP</v>
      </c>
      <c r="G73" s="10">
        <f ca="1">IFERROR(__xludf.DUMMYFUNCTION("""COMPUTED_VALUE"""),6705)</f>
        <v>6705</v>
      </c>
      <c r="H73" s="10">
        <f ca="1">IFERROR(__xludf.DUMMYFUNCTION("""COMPUTED_VALUE"""),80460)</f>
        <v>80460</v>
      </c>
    </row>
    <row r="74" spans="1:8">
      <c r="A74" s="8" t="str">
        <f ca="1">IFERROR(__xludf.DUMMYFUNCTION("""COMPUTED_VALUE"""),"AS-IG-EVOL-A-SS")</f>
        <v>AS-IG-EVOL-A-SS</v>
      </c>
      <c r="B74" s="8" t="str">
        <f ca="1">IFERROR(__xludf.DUMMYFUNCTION("""COMPUTED_VALUE"""),"AS-IG-EVOL-A-SS")</f>
        <v>AS-IG-EVOL-A-SS</v>
      </c>
      <c r="C74" s="9" t="str">
        <f ca="1">IFERROR(__xludf.DUMMYFUNCTION("""COMPUTED_VALUE"""),"Evolve - Architecture and Search")</f>
        <v>Evolve - Architecture and Search</v>
      </c>
      <c r="D74" s="8" t="str">
        <f ca="1">IFERROR(__xludf.DUMMYFUNCTION("""COMPUTED_VALUE"""),"One-Time")</f>
        <v>One-Time</v>
      </c>
      <c r="E74" s="9" t="str">
        <f ca="1">IFERROR(__xludf.DUMMYFUNCTION("""COMPUTED_VALUE"""),"Evolve - Architecture &amp; Search Support")</f>
        <v>Evolve - Architecture &amp; Search Support</v>
      </c>
      <c r="F74" s="10" t="str">
        <f ca="1">IFERROR(__xludf.DUMMYFUNCTION("""COMPUTED_VALUE"""),"GBP")</f>
        <v>GBP</v>
      </c>
      <c r="G74" s="10">
        <f ca="1">IFERROR(__xludf.DUMMYFUNCTION("""COMPUTED_VALUE"""),349)</f>
        <v>349</v>
      </c>
      <c r="H74" s="10">
        <f ca="1">IFERROR(__xludf.DUMMYFUNCTION("""COMPUTED_VALUE"""),349)</f>
        <v>349</v>
      </c>
    </row>
    <row r="75" spans="1:8">
      <c r="A75" s="8" t="str">
        <f ca="1">IFERROR(__xludf.DUMMYFUNCTION("""COMPUTED_VALUE"""),"AS-IG-EVOL-EVDE")</f>
        <v>AS-IG-EVOL-EVDE</v>
      </c>
      <c r="B75" s="8" t="str">
        <f ca="1">IFERROR(__xludf.DUMMYFUNCTION("""COMPUTED_VALUE"""),"AS-IG-EVOL-EVDE")</f>
        <v>AS-IG-EVOL-EVDE</v>
      </c>
      <c r="C75" s="9" t="str">
        <f ca="1">IFERROR(__xludf.DUMMYFUNCTION("""COMPUTED_VALUE"""),"Evolve - Enterprise VD")</f>
        <v>Evolve - Enterprise VD</v>
      </c>
      <c r="D75" s="8" t="str">
        <f ca="1">IFERROR(__xludf.DUMMYFUNCTION("""COMPUTED_VALUE"""),"One-Time")</f>
        <v>One-Time</v>
      </c>
      <c r="E75" s="9" t="str">
        <f ca="1">IFERROR(__xludf.DUMMYFUNCTION("""COMPUTED_VALUE"""),"Enterprise Visual Design Evolve")</f>
        <v>Enterprise Visual Design Evolve</v>
      </c>
      <c r="F75" s="10" t="str">
        <f ca="1">IFERROR(__xludf.DUMMYFUNCTION("""COMPUTED_VALUE"""),"GBP")</f>
        <v>GBP</v>
      </c>
      <c r="G75" s="10">
        <f ca="1">IFERROR(__xludf.DUMMYFUNCTION("""COMPUTED_VALUE"""),16761)</f>
        <v>16761</v>
      </c>
      <c r="H75" s="10">
        <f ca="1">IFERROR(__xludf.DUMMYFUNCTION("""COMPUTED_VALUE"""),16761)</f>
        <v>16761</v>
      </c>
    </row>
    <row r="76" spans="1:8">
      <c r="A76" s="8" t="str">
        <f ca="1">IFERROR(__xludf.DUMMYFUNCTION("""COMPUTED_VALUE"""),"AS-IG-FAIS")</f>
        <v>AS-IG-FAIS</v>
      </c>
      <c r="B76" s="8" t="str">
        <f ca="1">IFERROR(__xludf.DUMMYFUNCTION("""COMPUTED_VALUE"""),"AS-IG-FAIS")</f>
        <v>AS-IG-FAIS</v>
      </c>
      <c r="C76" s="9" t="str">
        <f ca="1">IFERROR(__xludf.DUMMYFUNCTION("""COMPUTED_VALUE"""),"Flex Advanced Implementation")</f>
        <v>Flex Advanced Implementation</v>
      </c>
      <c r="D76" s="8" t="str">
        <f ca="1">IFERROR(__xludf.DUMMYFUNCTION("""COMPUTED_VALUE"""),"One-Time")</f>
        <v>One-Time</v>
      </c>
      <c r="E76" s="9" t="str">
        <f ca="1">IFERROR(__xludf.DUMMYFUNCTION("""COMPUTED_VALUE"""),"Flex Advanced Implementation Services")</f>
        <v>Flex Advanced Implementation Services</v>
      </c>
      <c r="F76" s="10" t="str">
        <f ca="1">IFERROR(__xludf.DUMMYFUNCTION("""COMPUTED_VALUE"""),"GBP")</f>
        <v>GBP</v>
      </c>
      <c r="G76" s="10">
        <f ca="1">IFERROR(__xludf.DUMMYFUNCTION("""COMPUTED_VALUE"""),83806)</f>
        <v>83806</v>
      </c>
      <c r="H76" s="10">
        <f ca="1">IFERROR(__xludf.DUMMYFUNCTION("""COMPUTED_VALUE"""),83806)</f>
        <v>83806</v>
      </c>
    </row>
    <row r="77" spans="1:8">
      <c r="A77" s="8" t="str">
        <f ca="1">IFERROR(__xludf.DUMMYFUNCTION("""COMPUTED_VALUE"""),"AS-IG-FSIS")</f>
        <v>AS-IG-FSIS</v>
      </c>
      <c r="B77" s="8" t="str">
        <f ca="1">IFERROR(__xludf.DUMMYFUNCTION("""COMPUTED_VALUE"""),"AS-IG-FSIS")</f>
        <v>AS-IG-FSIS</v>
      </c>
      <c r="C77" s="9" t="str">
        <f ca="1">IFERROR(__xludf.DUMMYFUNCTION("""COMPUTED_VALUE"""),"Flex Standard Implementation")</f>
        <v>Flex Standard Implementation</v>
      </c>
      <c r="D77" s="8" t="str">
        <f ca="1">IFERROR(__xludf.DUMMYFUNCTION("""COMPUTED_VALUE"""),"One-Time")</f>
        <v>One-Time</v>
      </c>
      <c r="E77" s="9" t="str">
        <f ca="1">IFERROR(__xludf.DUMMYFUNCTION("""COMPUTED_VALUE"""),"Flex Standard Implementation Services")</f>
        <v>Flex Standard Implementation Services</v>
      </c>
      <c r="F77" s="10" t="str">
        <f ca="1">IFERROR(__xludf.DUMMYFUNCTION("""COMPUTED_VALUE"""),"GBP")</f>
        <v>GBP</v>
      </c>
      <c r="G77" s="10">
        <f ca="1">IFERROR(__xludf.DUMMYFUNCTION("""COMPUTED_VALUE"""),41903)</f>
        <v>41903</v>
      </c>
      <c r="H77" s="10">
        <f ca="1">IFERROR(__xludf.DUMMYFUNCTION("""COMPUTED_VALUE"""),41903)</f>
        <v>41903</v>
      </c>
    </row>
    <row r="78" spans="1:8">
      <c r="A78" s="8" t="str">
        <f ca="1">IFERROR(__xludf.DUMMYFUNCTION("""COMPUTED_VALUE"""),"AS-IG-HOSTING-MULTIT-I-1-10")</f>
        <v>AS-IG-HOSTING-MULTIT-I-1-10</v>
      </c>
      <c r="B78" s="8" t="str">
        <f ca="1">IFERROR(__xludf.DUMMYFUNCTION("""COMPUTED_VALUE"""),"Annual Plan AS-IG-HOSTING-MULTIT-I-1-10")</f>
        <v>Annual Plan AS-IG-HOSTING-MULTIT-I-1-10</v>
      </c>
      <c r="C78" s="9" t="str">
        <f ca="1">IFERROR(__xludf.DUMMYFUNCTION("""COMPUTED_VALUE"""),"Igloo Concurrent License")</f>
        <v>Igloo Concurrent License</v>
      </c>
      <c r="D78" s="8" t="str">
        <f ca="1">IFERROR(__xludf.DUMMYFUNCTION("""COMPUTED_VALUE"""),"Recurring")</f>
        <v>Recurring</v>
      </c>
      <c r="E78" s="9" t="str">
        <f ca="1">IFERROR(__xludf.DUMMYFUNCTION("""COMPUTED_VALUE"""),"Concurrent 1:10")</f>
        <v>Concurrent 1:10</v>
      </c>
      <c r="F78" s="10" t="str">
        <f ca="1">IFERROR(__xludf.DUMMYFUNCTION("""COMPUTED_VALUE"""),"GBP")</f>
        <v>GBP</v>
      </c>
      <c r="G78" s="10">
        <f ca="1">IFERROR(__xludf.DUMMYFUNCTION("""COMPUTED_VALUE"""),10.06)</f>
        <v>10.06</v>
      </c>
      <c r="H78" s="10">
        <f ca="1">IFERROR(__xludf.DUMMYFUNCTION("""COMPUTED_VALUE"""),120.72)</f>
        <v>120.72</v>
      </c>
    </row>
    <row r="79" spans="1:8">
      <c r="A79" s="8" t="str">
        <f ca="1">IFERROR(__xludf.DUMMYFUNCTION("""COMPUTED_VALUE"""),"AS-IG-HOSTING-MULTIT-I-1-10")</f>
        <v>AS-IG-HOSTING-MULTIT-I-1-10</v>
      </c>
      <c r="B79" s="8" t="str">
        <f ca="1">IFERROR(__xludf.DUMMYFUNCTION("""COMPUTED_VALUE"""),"Quarterly Plan AS-IG-HOSTING-MULTIT-I-1-10")</f>
        <v>Quarterly Plan AS-IG-HOSTING-MULTIT-I-1-10</v>
      </c>
      <c r="C79" s="9" t="str">
        <f ca="1">IFERROR(__xludf.DUMMYFUNCTION("""COMPUTED_VALUE"""),"Igloo Concurrent License")</f>
        <v>Igloo Concurrent License</v>
      </c>
      <c r="D79" s="8" t="str">
        <f ca="1">IFERROR(__xludf.DUMMYFUNCTION("""COMPUTED_VALUE"""),"Recurring")</f>
        <v>Recurring</v>
      </c>
      <c r="E79" s="9" t="str">
        <f ca="1">IFERROR(__xludf.DUMMYFUNCTION("""COMPUTED_VALUE"""),"Concurrent 1:10")</f>
        <v>Concurrent 1:10</v>
      </c>
      <c r="F79" s="10" t="str">
        <f ca="1">IFERROR(__xludf.DUMMYFUNCTION("""COMPUTED_VALUE"""),"GBP")</f>
        <v>GBP</v>
      </c>
      <c r="G79" s="10">
        <f ca="1">IFERROR(__xludf.DUMMYFUNCTION("""COMPUTED_VALUE"""),10.06)</f>
        <v>10.06</v>
      </c>
      <c r="H79" s="10">
        <f ca="1">IFERROR(__xludf.DUMMYFUNCTION("""COMPUTED_VALUE"""),120.72)</f>
        <v>120.72</v>
      </c>
    </row>
    <row r="80" spans="1:8">
      <c r="A80" s="8" t="str">
        <f ca="1">IFERROR(__xludf.DUMMYFUNCTION("""COMPUTED_VALUE"""),"AS-IG-IDS-DS-BP")</f>
        <v>AS-IG-IDS-DS-BP</v>
      </c>
      <c r="B80" s="8" t="str">
        <f ca="1">IFERROR(__xludf.DUMMYFUNCTION("""COMPUTED_VALUE"""),"AS-IG-IDS-DS-BP")</f>
        <v>AS-IG-IDS-DS-BP</v>
      </c>
      <c r="C80" s="9" t="str">
        <f ca="1">IFERROR(__xludf.DUMMYFUNCTION("""COMPUTED_VALUE"""),"IDS Scala Implement")</f>
        <v>IDS Scala Implement</v>
      </c>
      <c r="D80" s="8" t="str">
        <f ca="1">IFERROR(__xludf.DUMMYFUNCTION("""COMPUTED_VALUE"""),"One-Time")</f>
        <v>One-Time</v>
      </c>
      <c r="E80" s="9" t="str">
        <f ca="1">IFERROR(__xludf.DUMMYFUNCTION("""COMPUTED_VALUE"""),"Igloo Digital Signage Services Base Package - Standard Templates + Implementation")</f>
        <v>Igloo Digital Signage Services Base Package - Standard Templates + Implementation</v>
      </c>
      <c r="F80" s="10" t="str">
        <f ca="1">IFERROR(__xludf.DUMMYFUNCTION("""COMPUTED_VALUE"""),"GBP")</f>
        <v>GBP</v>
      </c>
      <c r="G80" s="8">
        <f ca="1">IFERROR(__xludf.DUMMYFUNCTION("""COMPUTED_VALUE"""),126)</f>
        <v>126</v>
      </c>
      <c r="H80" s="10">
        <f ca="1">IFERROR(__xludf.DUMMYFUNCTION("""COMPUTED_VALUE"""),126)</f>
        <v>126</v>
      </c>
    </row>
    <row r="81" spans="1:8">
      <c r="A81" s="8" t="str">
        <f ca="1">IFERROR(__xludf.DUMMYFUNCTION("""COMPUTED_VALUE"""),"AS-IG-IDS-DS-IISDS")</f>
        <v>AS-IG-IDS-DS-IISDS</v>
      </c>
      <c r="B81" s="8" t="str">
        <f ca="1">IFERROR(__xludf.DUMMYFUNCTION("""COMPUTED_VALUE"""),"AS-IG-IDS-DS-IISDS")</f>
        <v>AS-IG-IDS-DS-IISDS</v>
      </c>
      <c r="C81" s="9" t="str">
        <f ca="1">IFERROR(__xludf.DUMMYFUNCTION("""COMPUTED_VALUE"""),"IDS Igloo Implement")</f>
        <v>IDS Igloo Implement</v>
      </c>
      <c r="D81" s="8" t="str">
        <f ca="1">IFERROR(__xludf.DUMMYFUNCTION("""COMPUTED_VALUE"""),"One-Time")</f>
        <v>One-Time</v>
      </c>
      <c r="E81" s="9" t="str">
        <f ca="1">IFERROR(__xludf.DUMMYFUNCTION("""COMPUTED_VALUE"""),"Igloo Digital Signage Services Igloo Implementation Services for Digital Signage")</f>
        <v>Igloo Digital Signage Services Igloo Implementation Services for Digital Signage</v>
      </c>
      <c r="F81" s="10" t="str">
        <f ca="1">IFERROR(__xludf.DUMMYFUNCTION("""COMPUTED_VALUE"""),"GBP")</f>
        <v>GBP</v>
      </c>
      <c r="G81" s="8">
        <f ca="1">IFERROR(__xludf.DUMMYFUNCTION("""COMPUTED_VALUE"""),2933)</f>
        <v>2933</v>
      </c>
      <c r="H81" s="10">
        <f ca="1">IFERROR(__xludf.DUMMYFUNCTION("""COMPUTED_VALUE"""),2933)</f>
        <v>2933</v>
      </c>
    </row>
    <row r="82" spans="1:8">
      <c r="A82" s="8" t="str">
        <f ca="1">IFERROR(__xludf.DUMMYFUNCTION("""COMPUTED_VALUE"""),"AS-IG-IFAH-1UL")</f>
        <v>AS-IG-IFAH-1UL</v>
      </c>
      <c r="B82" s="8" t="str">
        <f ca="1">IFERROR(__xludf.DUMMYFUNCTION("""COMPUTED_VALUE"""),"Quarterly Plan AS-IG-IFAH-1UL")</f>
        <v>Quarterly Plan AS-IG-IFAH-1UL</v>
      </c>
      <c r="C82" s="9" t="str">
        <f ca="1">IFERROR(__xludf.DUMMYFUNCTION("""COMPUTED_VALUE"""),"Igloo Flex License")</f>
        <v>Igloo Flex License</v>
      </c>
      <c r="D82" s="8" t="str">
        <f ca="1">IFERROR(__xludf.DUMMYFUNCTION("""COMPUTED_VALUE"""),"Recurring")</f>
        <v>Recurring</v>
      </c>
      <c r="E82" s="9" t="str">
        <f ca="1">IFERROR(__xludf.DUMMYFUNCTION("""COMPUTED_VALUE"""),"Igloo Flex Authorized User License")</f>
        <v>Igloo Flex Authorized User License</v>
      </c>
      <c r="F82" s="10" t="str">
        <f ca="1">IFERROR(__xludf.DUMMYFUNCTION("""COMPUTED_VALUE"""),"GBP")</f>
        <v>GBP</v>
      </c>
      <c r="G82" s="10">
        <f ca="1">IFERROR(__xludf.DUMMYFUNCTION("""COMPUTED_VALUE"""),5.02)</f>
        <v>5.0199999999999996</v>
      </c>
      <c r="H82" s="10">
        <f ca="1">IFERROR(__xludf.DUMMYFUNCTION("""COMPUTED_VALUE"""),60.24)</f>
        <v>60.24</v>
      </c>
    </row>
    <row r="83" spans="1:8">
      <c r="A83" s="8" t="str">
        <f ca="1">IFERROR(__xludf.DUMMYFUNCTION("""COMPUTED_VALUE"""),"AS-IG-IFAH-1UL")</f>
        <v>AS-IG-IFAH-1UL</v>
      </c>
      <c r="B83" s="8" t="str">
        <f ca="1">IFERROR(__xludf.DUMMYFUNCTION("""COMPUTED_VALUE"""),"Annual Plan AS-IG-IFAH-1UL")</f>
        <v>Annual Plan AS-IG-IFAH-1UL</v>
      </c>
      <c r="C83" s="9" t="str">
        <f ca="1">IFERROR(__xludf.DUMMYFUNCTION("""COMPUTED_VALUE"""),"Igloo Flex License")</f>
        <v>Igloo Flex License</v>
      </c>
      <c r="D83" s="8" t="str">
        <f ca="1">IFERROR(__xludf.DUMMYFUNCTION("""COMPUTED_VALUE"""),"Recurring")</f>
        <v>Recurring</v>
      </c>
      <c r="E83" s="9" t="str">
        <f ca="1">IFERROR(__xludf.DUMMYFUNCTION("""COMPUTED_VALUE"""),"Igloo Flex Authorized User License")</f>
        <v>Igloo Flex Authorized User License</v>
      </c>
      <c r="F83" s="10" t="str">
        <f ca="1">IFERROR(__xludf.DUMMYFUNCTION("""COMPUTED_VALUE"""),"GBP")</f>
        <v>GBP</v>
      </c>
      <c r="G83" s="10">
        <f ca="1">IFERROR(__xludf.DUMMYFUNCTION("""COMPUTED_VALUE"""),5.02)</f>
        <v>5.0199999999999996</v>
      </c>
      <c r="H83" s="10">
        <f ca="1">IFERROR(__xludf.DUMMYFUNCTION("""COMPUTED_VALUE"""),60.24)</f>
        <v>60.24</v>
      </c>
    </row>
    <row r="84" spans="1:8">
      <c r="A84" s="8" t="str">
        <f ca="1">IFERROR(__xludf.DUMMYFUNCTION("""COMPUTED_VALUE"""),"AS-IG-IIS-UL")</f>
        <v>AS-IG-IIS-UL</v>
      </c>
      <c r="B84" s="8" t="str">
        <f ca="1">IFERROR(__xludf.DUMMYFUNCTION("""COMPUTED_VALUE"""),"Annual Plan AS-IG-IIS-UL")</f>
        <v>Annual Plan AS-IG-IIS-UL</v>
      </c>
      <c r="C84" s="9" t="str">
        <f ca="1">IFERROR(__xludf.DUMMYFUNCTION("""COMPUTED_VALUE"""),"IIS Queries")</f>
        <v>IIS Queries</v>
      </c>
      <c r="D84" s="8" t="str">
        <f ca="1">IFERROR(__xludf.DUMMYFUNCTION("""COMPUTED_VALUE"""),"Recurring")</f>
        <v>Recurring</v>
      </c>
      <c r="E84" s="9" t="str">
        <f ca="1">IFERROR(__xludf.DUMMYFUNCTION("""COMPUTED_VALUE"""),"Igloo Intelligent Search (IIS)")</f>
        <v>Igloo Intelligent Search (IIS)</v>
      </c>
      <c r="F84" s="10" t="str">
        <f ca="1">IFERROR(__xludf.DUMMYFUNCTION("""COMPUTED_VALUE"""),"GBP")</f>
        <v>GBP</v>
      </c>
      <c r="G84" s="10">
        <f ca="1">IFERROR(__xludf.DUMMYFUNCTION("""COMPUTED_VALUE"""),0.02)</f>
        <v>0.02</v>
      </c>
      <c r="H84" s="10">
        <f ca="1">IFERROR(__xludf.DUMMYFUNCTION("""COMPUTED_VALUE"""),0.24)</f>
        <v>0.24</v>
      </c>
    </row>
    <row r="85" spans="1:8">
      <c r="A85" s="8" t="str">
        <f ca="1">IFERROR(__xludf.DUMMYFUNCTION("""COMPUTED_VALUE"""),"AS-IG-IIS-UL")</f>
        <v>AS-IG-IIS-UL</v>
      </c>
      <c r="B85" s="8" t="str">
        <f ca="1">IFERROR(__xludf.DUMMYFUNCTION("""COMPUTED_VALUE"""),"Quarterly Plan AS-IG-IIS-UL")</f>
        <v>Quarterly Plan AS-IG-IIS-UL</v>
      </c>
      <c r="C85" s="9" t="str">
        <f ca="1">IFERROR(__xludf.DUMMYFUNCTION("""COMPUTED_VALUE"""),"IIS Queries")</f>
        <v>IIS Queries</v>
      </c>
      <c r="D85" s="8" t="str">
        <f ca="1">IFERROR(__xludf.DUMMYFUNCTION("""COMPUTED_VALUE"""),"Recurring")</f>
        <v>Recurring</v>
      </c>
      <c r="E85" s="9" t="str">
        <f ca="1">IFERROR(__xludf.DUMMYFUNCTION("""COMPUTED_VALUE"""),"Igloo Intelligent Search (IIS)")</f>
        <v>Igloo Intelligent Search (IIS)</v>
      </c>
      <c r="F85" s="10" t="str">
        <f ca="1">IFERROR(__xludf.DUMMYFUNCTION("""COMPUTED_VALUE"""),"GBP")</f>
        <v>GBP</v>
      </c>
      <c r="G85" s="8">
        <f ca="1">IFERROR(__xludf.DUMMYFUNCTION("""COMPUTED_VALUE"""),0.02)</f>
        <v>0.02</v>
      </c>
      <c r="H85" s="10">
        <f ca="1">IFERROR(__xludf.DUMMYFUNCTION("""COMPUTED_VALUE"""),0.24)</f>
        <v>0.24</v>
      </c>
    </row>
    <row r="86" spans="1:8">
      <c r="A86" s="8" t="str">
        <f ca="1">IFERROR(__xludf.DUMMYFUNCTION("""COMPUTED_VALUE"""),"AS-IG-IMBLS")</f>
        <v>AS-IG-IMBLS</v>
      </c>
      <c r="B86" s="8" t="str">
        <f ca="1">IFERROR(__xludf.DUMMYFUNCTION("""COMPUTED_VALUE"""),"AS-IG-IMBLS")</f>
        <v>AS-IG-IMBLS</v>
      </c>
      <c r="C86" s="9" t="str">
        <f ca="1">IFERROR(__xludf.DUMMYFUNCTION("""COMPUTED_VALUE"""),"Mobile Implement")</f>
        <v>Mobile Implement</v>
      </c>
      <c r="D86" s="8" t="str">
        <f ca="1">IFERROR(__xludf.DUMMYFUNCTION("""COMPUTED_VALUE"""),"One-Time")</f>
        <v>One-Time</v>
      </c>
      <c r="E86" s="9" t="str">
        <f ca="1">IFERROR(__xludf.DUMMYFUNCTION("""COMPUTED_VALUE"""),"Igloo Mobile Branded Launch Services")</f>
        <v>Igloo Mobile Branded Launch Services</v>
      </c>
      <c r="F86" s="10" t="str">
        <f ca="1">IFERROR(__xludf.DUMMYFUNCTION("""COMPUTED_VALUE"""),"GBP")</f>
        <v>GBP</v>
      </c>
      <c r="G86" s="8">
        <f ca="1">IFERROR(__xludf.DUMMYFUNCTION("""COMPUTED_VALUE"""),698)</f>
        <v>698</v>
      </c>
      <c r="H86" s="10">
        <f ca="1">IFERROR(__xludf.DUMMYFUNCTION("""COMPUTED_VALUE"""),698)</f>
        <v>698</v>
      </c>
    </row>
    <row r="87" spans="1:8">
      <c r="A87" s="8" t="str">
        <f ca="1">IFERROR(__xludf.DUMMYFUNCTION("""COMPUTED_VALUE"""),"AS-IG-MLP-IF")</f>
        <v>AS-IG-MLP-IF</v>
      </c>
      <c r="B87" s="8" t="str">
        <f ca="1">IFERROR(__xludf.DUMMYFUNCTION("""COMPUTED_VALUE"""),"AS-IG-MLP-IF")</f>
        <v>AS-IG-MLP-IF</v>
      </c>
      <c r="C87" s="9" t="str">
        <f ca="1">IFERROR(__xludf.DUMMYFUNCTION("""COMPUTED_VALUE"""),"Flex Migration")</f>
        <v>Flex Migration</v>
      </c>
      <c r="D87" s="8" t="str">
        <f ca="1">IFERROR(__xludf.DUMMYFUNCTION("""COMPUTED_VALUE"""),"One-Time")</f>
        <v>One-Time</v>
      </c>
      <c r="E87" s="9" t="str">
        <f ca="1">IFERROR(__xludf.DUMMYFUNCTION("""COMPUTED_VALUE"""),"Direct Migration From Legacy Platform to Igloo Flex")</f>
        <v>Direct Migration From Legacy Platform to Igloo Flex</v>
      </c>
      <c r="F87" s="10" t="str">
        <f ca="1">IFERROR(__xludf.DUMMYFUNCTION("""COMPUTED_VALUE"""),"GBP")</f>
        <v>GBP</v>
      </c>
      <c r="G87" s="10">
        <f ca="1">IFERROR(__xludf.DUMMYFUNCTION("""COMPUTED_VALUE"""),41903)</f>
        <v>41903</v>
      </c>
      <c r="H87" s="10">
        <f ca="1">IFERROR(__xludf.DUMMYFUNCTION("""COMPUTED_VALUE"""),41903)</f>
        <v>41903</v>
      </c>
    </row>
    <row r="88" spans="1:8">
      <c r="A88" s="8" t="str">
        <f ca="1">IFERROR(__xludf.DUMMYFUNCTION("""COMPUTED_VALUE"""),"AS-IG-MLP-IF2")</f>
        <v>AS-IG-MLP-IF2</v>
      </c>
      <c r="B88" s="8" t="str">
        <f ca="1">IFERROR(__xludf.DUMMYFUNCTION("""COMPUTED_VALUE"""),"AS-IG-MLP-IF2")</f>
        <v>AS-IG-MLP-IF2</v>
      </c>
      <c r="C88" s="9" t="str">
        <f ca="1">IFERROR(__xludf.DUMMYFUNCTION("""COMPUTED_VALUE"""),"Flex Migration")</f>
        <v>Flex Migration</v>
      </c>
      <c r="D88" s="8" t="str">
        <f ca="1">IFERROR(__xludf.DUMMYFUNCTION("""COMPUTED_VALUE"""),"One-Time")</f>
        <v>One-Time</v>
      </c>
      <c r="E88" s="9" t="str">
        <f ca="1">IFERROR(__xludf.DUMMYFUNCTION("""COMPUTED_VALUE"""),"Evolve Migration From Legacy Platform to Igloo Flex")</f>
        <v>Evolve Migration From Legacy Platform to Igloo Flex</v>
      </c>
      <c r="F88" s="10" t="str">
        <f ca="1">IFERROR(__xludf.DUMMYFUNCTION("""COMPUTED_VALUE"""),"GBP")</f>
        <v>GBP</v>
      </c>
      <c r="G88" s="10">
        <f ca="1">IFERROR(__xludf.DUMMYFUNCTION("""COMPUTED_VALUE"""),62855)</f>
        <v>62855</v>
      </c>
      <c r="H88" s="10">
        <f ca="1">IFERROR(__xludf.DUMMYFUNCTION("""COMPUTED_VALUE"""),62855)</f>
        <v>62855</v>
      </c>
    </row>
    <row r="89" spans="1:8">
      <c r="A89" s="8" t="str">
        <f ca="1">IFERROR(__xludf.DUMMYFUNCTION("""COMPUTED_VALUE"""),"AS-IG-M-PP-AF")</f>
        <v>AS-IG-M-PP-AF</v>
      </c>
      <c r="B89" s="8" t="str">
        <f ca="1">IFERROR(__xludf.DUMMYFUNCTION("""COMPUTED_VALUE"""),"AS-IG-M-PP-AF")</f>
        <v>AS-IG-M-PP-AF</v>
      </c>
      <c r="C89" s="9" t="str">
        <f ca="1">IFERROR(__xludf.DUMMYFUNCTION("""COMPUTED_VALUE"""),"Premium Profiles Implement")</f>
        <v>Premium Profiles Implement</v>
      </c>
      <c r="D89" s="8" t="str">
        <f ca="1">IFERROR(__xludf.DUMMYFUNCTION("""COMPUTED_VALUE"""),"One-Time")</f>
        <v>One-Time</v>
      </c>
      <c r="E89" s="9" t="str">
        <f ca="1">IFERROR(__xludf.DUMMYFUNCTION("""COMPUTED_VALUE"""),"Module: Premium Profiles - Additional Field Modification")</f>
        <v>Module: Premium Profiles - Additional Field Modification</v>
      </c>
      <c r="F89" s="10" t="str">
        <f ca="1">IFERROR(__xludf.DUMMYFUNCTION("""COMPUTED_VALUE"""),"GBP")</f>
        <v>GBP</v>
      </c>
      <c r="G89" s="10">
        <f ca="1">IFERROR(__xludf.DUMMYFUNCTION("""COMPUTED_VALUE"""),2095)</f>
        <v>2095</v>
      </c>
      <c r="H89" s="10">
        <f ca="1">IFERROR(__xludf.DUMMYFUNCTION("""COMPUTED_VALUE"""),2095)</f>
        <v>2095</v>
      </c>
    </row>
    <row r="90" spans="1:8">
      <c r="A90" s="8" t="str">
        <f ca="1">IFERROR(__xludf.DUMMYFUNCTION("""COMPUTED_VALUE"""),"AS-M-SEENSPIRE-CARDS")</f>
        <v>AS-M-SEENSPIRE-CARDS</v>
      </c>
      <c r="B90" s="8" t="str">
        <f ca="1">IFERROR(__xludf.DUMMYFUNCTION("""COMPUTED_VALUE"""),"Cards 25")</f>
        <v>Cards 25</v>
      </c>
      <c r="C90" s="9" t="str">
        <f ca="1">IFERROR(__xludf.DUMMYFUNCTION("""COMPUTED_VALUE"""),"Device Add-on")</f>
        <v>Device Add-on</v>
      </c>
      <c r="D90" s="8" t="str">
        <f ca="1">IFERROR(__xludf.DUMMYFUNCTION("""COMPUTED_VALUE"""),"Recurring")</f>
        <v>Recurring</v>
      </c>
      <c r="E90" s="9"/>
      <c r="F90" s="10" t="str">
        <f ca="1">IFERROR(__xludf.DUMMYFUNCTION("""COMPUTED_VALUE"""),"GBP")</f>
        <v>GBP</v>
      </c>
      <c r="G90" s="10">
        <f ca="1">IFERROR(__xludf.DUMMYFUNCTION("""COMPUTED_VALUE"""),18.44)</f>
        <v>18.440000000000001</v>
      </c>
      <c r="H90" s="10">
        <f ca="1">IFERROR(__xludf.DUMMYFUNCTION("""COMPUTED_VALUE"""),221.28)</f>
        <v>221.28</v>
      </c>
    </row>
    <row r="91" spans="1:8">
      <c r="A91" s="8" t="str">
        <f ca="1">IFERROR(__xludf.DUMMYFUNCTION("""COMPUTED_VALUE"""),"AS-M-SEENSPIRE-CARDS")</f>
        <v>AS-M-SEENSPIRE-CARDS</v>
      </c>
      <c r="B91" s="8" t="str">
        <f ca="1">IFERROR(__xludf.DUMMYFUNCTION("""COMPUTED_VALUE"""),"Cards 25")</f>
        <v>Cards 25</v>
      </c>
      <c r="C91" s="9" t="str">
        <f ca="1">IFERROR(__xludf.DUMMYFUNCTION("""COMPUTED_VALUE"""),"Platform")</f>
        <v>Platform</v>
      </c>
      <c r="D91" s="8" t="str">
        <f ca="1">IFERROR(__xludf.DUMMYFUNCTION("""COMPUTED_VALUE"""),"Recurring")</f>
        <v>Recurring</v>
      </c>
      <c r="E91" s="9"/>
      <c r="F91" s="10" t="str">
        <f ca="1">IFERROR(__xludf.DUMMYFUNCTION("""COMPUTED_VALUE"""),"GBP")</f>
        <v>GBP</v>
      </c>
      <c r="G91" s="10">
        <f ca="1">IFERROR(__xludf.DUMMYFUNCTION("""COMPUTED_VALUE"""),524)</f>
        <v>524</v>
      </c>
      <c r="H91" s="10">
        <f ca="1">IFERROR(__xludf.DUMMYFUNCTION("""COMPUTED_VALUE"""),6288)</f>
        <v>6288</v>
      </c>
    </row>
    <row r="92" spans="1:8">
      <c r="A92" s="8" t="str">
        <f ca="1">IFERROR(__xludf.DUMMYFUNCTION("""COMPUTED_VALUE"""),"AS-M-SEENSPIRE-CARDS")</f>
        <v>AS-M-SEENSPIRE-CARDS</v>
      </c>
      <c r="B92" s="8" t="str">
        <f ca="1">IFERROR(__xludf.DUMMYFUNCTION("""COMPUTED_VALUE"""),"Cards 50")</f>
        <v>Cards 50</v>
      </c>
      <c r="C92" s="9" t="str">
        <f ca="1">IFERROR(__xludf.DUMMYFUNCTION("""COMPUTED_VALUE"""),"Device Add-on")</f>
        <v>Device Add-on</v>
      </c>
      <c r="D92" s="8" t="str">
        <f ca="1">IFERROR(__xludf.DUMMYFUNCTION("""COMPUTED_VALUE"""),"Recurring")</f>
        <v>Recurring</v>
      </c>
      <c r="E92" s="9"/>
      <c r="F92" s="10" t="str">
        <f ca="1">IFERROR(__xludf.DUMMYFUNCTION("""COMPUTED_VALUE"""),"GBP")</f>
        <v>GBP</v>
      </c>
      <c r="G92" s="8">
        <f ca="1">IFERROR(__xludf.DUMMYFUNCTION("""COMPUTED_VALUE"""),18.44)</f>
        <v>18.440000000000001</v>
      </c>
      <c r="H92" s="10">
        <f ca="1">IFERROR(__xludf.DUMMYFUNCTION("""COMPUTED_VALUE"""),221.28)</f>
        <v>221.28</v>
      </c>
    </row>
    <row r="93" spans="1:8">
      <c r="A93" s="8" t="str">
        <f ca="1">IFERROR(__xludf.DUMMYFUNCTION("""COMPUTED_VALUE"""),"AS-M-SEENSPIRE-CARDS")</f>
        <v>AS-M-SEENSPIRE-CARDS</v>
      </c>
      <c r="B93" s="8" t="str">
        <f ca="1">IFERROR(__xludf.DUMMYFUNCTION("""COMPUTED_VALUE"""),"Cards 250")</f>
        <v>Cards 250</v>
      </c>
      <c r="C93" s="9" t="str">
        <f ca="1">IFERROR(__xludf.DUMMYFUNCTION("""COMPUTED_VALUE"""),"Device Add-on")</f>
        <v>Device Add-on</v>
      </c>
      <c r="D93" s="8" t="str">
        <f ca="1">IFERROR(__xludf.DUMMYFUNCTION("""COMPUTED_VALUE"""),"Recurring")</f>
        <v>Recurring</v>
      </c>
      <c r="E93" s="9"/>
      <c r="F93" s="10" t="str">
        <f ca="1">IFERROR(__xludf.DUMMYFUNCTION("""COMPUTED_VALUE"""),"GBP")</f>
        <v>GBP</v>
      </c>
      <c r="G93" s="10">
        <f ca="1">IFERROR(__xludf.DUMMYFUNCTION("""COMPUTED_VALUE"""),8.38)</f>
        <v>8.3800000000000008</v>
      </c>
      <c r="H93" s="10">
        <f ca="1">IFERROR(__xludf.DUMMYFUNCTION("""COMPUTED_VALUE"""),100.56)</f>
        <v>100.56</v>
      </c>
    </row>
    <row r="94" spans="1:8">
      <c r="A94" s="8" t="str">
        <f ca="1">IFERROR(__xludf.DUMMYFUNCTION("""COMPUTED_VALUE"""),"AS-M-SEENSPIRE-CARDS")</f>
        <v>AS-M-SEENSPIRE-CARDS</v>
      </c>
      <c r="B94" s="8" t="str">
        <f ca="1">IFERROR(__xludf.DUMMYFUNCTION("""COMPUTED_VALUE"""),"Cards 1000")</f>
        <v>Cards 1000</v>
      </c>
      <c r="C94" s="9" t="str">
        <f ca="1">IFERROR(__xludf.DUMMYFUNCTION("""COMPUTED_VALUE"""),"Device Add-on")</f>
        <v>Device Add-on</v>
      </c>
      <c r="D94" s="8" t="str">
        <f ca="1">IFERROR(__xludf.DUMMYFUNCTION("""COMPUTED_VALUE"""),"Recurring")</f>
        <v>Recurring</v>
      </c>
      <c r="E94" s="9"/>
      <c r="F94" s="10" t="str">
        <f ca="1">IFERROR(__xludf.DUMMYFUNCTION("""COMPUTED_VALUE"""),"GBP")</f>
        <v>GBP</v>
      </c>
      <c r="G94" s="10">
        <f ca="1">IFERROR(__xludf.DUMMYFUNCTION("""COMPUTED_VALUE"""),4.19)</f>
        <v>4.1900000000000004</v>
      </c>
      <c r="H94" s="10">
        <f ca="1">IFERROR(__xludf.DUMMYFUNCTION("""COMPUTED_VALUE"""),50.28)</f>
        <v>50.28</v>
      </c>
    </row>
    <row r="95" spans="1:8">
      <c r="A95" s="8" t="str">
        <f ca="1">IFERROR(__xludf.DUMMYFUNCTION("""COMPUTED_VALUE"""),"AS-M-SEENSPIRE-CARDS")</f>
        <v>AS-M-SEENSPIRE-CARDS</v>
      </c>
      <c r="B95" s="8" t="str">
        <f ca="1">IFERROR(__xludf.DUMMYFUNCTION("""COMPUTED_VALUE"""),"Cards 3000")</f>
        <v>Cards 3000</v>
      </c>
      <c r="C95" s="9" t="str">
        <f ca="1">IFERROR(__xludf.DUMMYFUNCTION("""COMPUTED_VALUE"""),"Device Add-on")</f>
        <v>Device Add-on</v>
      </c>
      <c r="D95" s="8" t="str">
        <f ca="1">IFERROR(__xludf.DUMMYFUNCTION("""COMPUTED_VALUE"""),"Recurring")</f>
        <v>Recurring</v>
      </c>
      <c r="E95" s="9"/>
      <c r="F95" s="10" t="str">
        <f ca="1">IFERROR(__xludf.DUMMYFUNCTION("""COMPUTED_VALUE"""),"GBP")</f>
        <v>GBP</v>
      </c>
      <c r="G95" s="10">
        <f ca="1">IFERROR(__xludf.DUMMYFUNCTION("""COMPUTED_VALUE"""),2.51)</f>
        <v>2.5099999999999998</v>
      </c>
      <c r="H95" s="10">
        <f ca="1">IFERROR(__xludf.DUMMYFUNCTION("""COMPUTED_VALUE"""),30.12)</f>
        <v>30.12</v>
      </c>
    </row>
    <row r="96" spans="1:8">
      <c r="A96" s="8" t="str">
        <f ca="1">IFERROR(__xludf.DUMMYFUNCTION("""COMPUTED_VALUE"""),"AS-M-SEENSPIRE-CARDS")</f>
        <v>AS-M-SEENSPIRE-CARDS</v>
      </c>
      <c r="B96" s="8" t="str">
        <f ca="1">IFERROR(__xludf.DUMMYFUNCTION("""COMPUTED_VALUE"""),"Cards 50")</f>
        <v>Cards 50</v>
      </c>
      <c r="C96" s="9" t="str">
        <f ca="1">IFERROR(__xludf.DUMMYFUNCTION("""COMPUTED_VALUE"""),"Platform")</f>
        <v>Platform</v>
      </c>
      <c r="D96" s="8" t="str">
        <f ca="1">IFERROR(__xludf.DUMMYFUNCTION("""COMPUTED_VALUE"""),"Recurring")</f>
        <v>Recurring</v>
      </c>
      <c r="E96" s="9"/>
      <c r="F96" s="10" t="str">
        <f ca="1">IFERROR(__xludf.DUMMYFUNCTION("""COMPUTED_VALUE"""),"GBP")</f>
        <v>GBP</v>
      </c>
      <c r="G96" s="10">
        <f ca="1">IFERROR(__xludf.DUMMYFUNCTION("""COMPUTED_VALUE"""),1048)</f>
        <v>1048</v>
      </c>
      <c r="H96" s="10">
        <f ca="1">IFERROR(__xludf.DUMMYFUNCTION("""COMPUTED_VALUE"""),12576)</f>
        <v>12576</v>
      </c>
    </row>
    <row r="97" spans="1:8">
      <c r="A97" s="8" t="str">
        <f ca="1">IFERROR(__xludf.DUMMYFUNCTION("""COMPUTED_VALUE"""),"AS-M-SEENSPIRE-CARDS")</f>
        <v>AS-M-SEENSPIRE-CARDS</v>
      </c>
      <c r="B97" s="8" t="str">
        <f ca="1">IFERROR(__xludf.DUMMYFUNCTION("""COMPUTED_VALUE"""),"Cards 250")</f>
        <v>Cards 250</v>
      </c>
      <c r="C97" s="9" t="str">
        <f ca="1">IFERROR(__xludf.DUMMYFUNCTION("""COMPUTED_VALUE"""),"Platform")</f>
        <v>Platform</v>
      </c>
      <c r="D97" s="8" t="str">
        <f ca="1">IFERROR(__xludf.DUMMYFUNCTION("""COMPUTED_VALUE"""),"Recurring")</f>
        <v>Recurring</v>
      </c>
      <c r="E97" s="9"/>
      <c r="F97" s="10" t="str">
        <f ca="1">IFERROR(__xludf.DUMMYFUNCTION("""COMPUTED_VALUE"""),"GBP")</f>
        <v>GBP</v>
      </c>
      <c r="G97" s="10">
        <f ca="1">IFERROR(__xludf.DUMMYFUNCTION("""COMPUTED_VALUE"""),2305)</f>
        <v>2305</v>
      </c>
      <c r="H97" s="10">
        <f ca="1">IFERROR(__xludf.DUMMYFUNCTION("""COMPUTED_VALUE"""),27660)</f>
        <v>27660</v>
      </c>
    </row>
    <row r="98" spans="1:8">
      <c r="A98" s="8" t="str">
        <f ca="1">IFERROR(__xludf.DUMMYFUNCTION("""COMPUTED_VALUE"""),"AS-M-SEENSPIRE-CARDS")</f>
        <v>AS-M-SEENSPIRE-CARDS</v>
      </c>
      <c r="B98" s="8" t="str">
        <f ca="1">IFERROR(__xludf.DUMMYFUNCTION("""COMPUTED_VALUE"""),"Cards 1000")</f>
        <v>Cards 1000</v>
      </c>
      <c r="C98" s="9" t="str">
        <f ca="1">IFERROR(__xludf.DUMMYFUNCTION("""COMPUTED_VALUE"""),"Platform")</f>
        <v>Platform</v>
      </c>
      <c r="D98" s="8" t="str">
        <f ca="1">IFERROR(__xludf.DUMMYFUNCTION("""COMPUTED_VALUE"""),"Recurring")</f>
        <v>Recurring</v>
      </c>
      <c r="E98" s="9"/>
      <c r="F98" s="10" t="str">
        <f ca="1">IFERROR(__xludf.DUMMYFUNCTION("""COMPUTED_VALUE"""),"GBP")</f>
        <v>GBP</v>
      </c>
      <c r="G98" s="10">
        <f ca="1">IFERROR(__xludf.DUMMYFUNCTION("""COMPUTED_VALUE"""),3687)</f>
        <v>3687</v>
      </c>
      <c r="H98" s="10">
        <f ca="1">IFERROR(__xludf.DUMMYFUNCTION("""COMPUTED_VALUE"""),44244)</f>
        <v>44244</v>
      </c>
    </row>
    <row r="99" spans="1:8">
      <c r="A99" s="8" t="str">
        <f ca="1">IFERROR(__xludf.DUMMYFUNCTION("""COMPUTED_VALUE"""),"AS-M-SEENSPIRE-CARDS")</f>
        <v>AS-M-SEENSPIRE-CARDS</v>
      </c>
      <c r="B99" s="8" t="str">
        <f ca="1">IFERROR(__xludf.DUMMYFUNCTION("""COMPUTED_VALUE"""),"Cards 3000")</f>
        <v>Cards 3000</v>
      </c>
      <c r="C99" s="9" t="str">
        <f ca="1">IFERROR(__xludf.DUMMYFUNCTION("""COMPUTED_VALUE"""),"Platform")</f>
        <v>Platform</v>
      </c>
      <c r="D99" s="8" t="str">
        <f ca="1">IFERROR(__xludf.DUMMYFUNCTION("""COMPUTED_VALUE"""),"Recurring")</f>
        <v>Recurring</v>
      </c>
      <c r="E99" s="9"/>
      <c r="F99" s="10" t="str">
        <f ca="1">IFERROR(__xludf.DUMMYFUNCTION("""COMPUTED_VALUE"""),"GBP")</f>
        <v>GBP</v>
      </c>
      <c r="G99" s="10">
        <f ca="1">IFERROR(__xludf.DUMMYFUNCTION("""COMPUTED_VALUE"""),7375)</f>
        <v>7375</v>
      </c>
      <c r="H99" s="10">
        <f ca="1">IFERROR(__xludf.DUMMYFUNCTION("""COMPUTED_VALUE"""),88500)</f>
        <v>88500</v>
      </c>
    </row>
    <row r="100" spans="1:8">
      <c r="A100" s="8" t="str">
        <f ca="1">IFERROR(__xludf.DUMMYFUNCTION("""COMPUTED_VALUE"""),"AS-OMNI-C-CL")</f>
        <v>AS-OMNI-C-CL</v>
      </c>
      <c r="B100" s="8" t="str">
        <f ca="1">IFERROR(__xludf.DUMMYFUNCTION("""COMPUTED_VALUE"""),"Annual Plan AS-OMNI-C-CL")</f>
        <v>Annual Plan AS-OMNI-C-CL</v>
      </c>
      <c r="C100" s="9" t="str">
        <f ca="1">IFERROR(__xludf.DUMMYFUNCTION("""COMPUTED_VALUE"""),"Platform")</f>
        <v>Platform</v>
      </c>
      <c r="D100" s="8" t="str">
        <f ca="1">IFERROR(__xludf.DUMMYFUNCTION("""COMPUTED_VALUE"""),"Recurring")</f>
        <v>Recurring</v>
      </c>
      <c r="E100" s="9" t="str">
        <f ca="1">IFERROR(__xludf.DUMMYFUNCTION("""COMPUTED_VALUE"""),"Appspace Cloud Subscription. Appspace Cloud access to all Appspace platform features for 50 devices, Premium Support, 50 GB cloud storage, and 50 GB/month cloud bandwidth.")</f>
        <v>Appspace Cloud Subscription. Appspace Cloud access to all Appspace platform features for 50 devices, Premium Support, 50 GB cloud storage, and 50 GB/month cloud bandwidth.</v>
      </c>
      <c r="F100" s="10" t="str">
        <f ca="1">IFERROR(__xludf.DUMMYFUNCTION("""COMPUTED_VALUE"""),"GBP")</f>
        <v>GBP</v>
      </c>
      <c r="G100" s="10">
        <f ca="1">IFERROR(__xludf.DUMMYFUNCTION("""COMPUTED_VALUE"""),1676)</f>
        <v>1676</v>
      </c>
      <c r="H100" s="10">
        <f ca="1">IFERROR(__xludf.DUMMYFUNCTION("""COMPUTED_VALUE"""),20112)</f>
        <v>20112</v>
      </c>
    </row>
    <row r="101" spans="1:8">
      <c r="A101" s="8" t="str">
        <f ca="1">IFERROR(__xludf.DUMMYFUNCTION("""COMPUTED_VALUE"""),"AS-OMNI-C-CL-EDU")</f>
        <v>AS-OMNI-C-CL-EDU</v>
      </c>
      <c r="B101" s="8" t="str">
        <f ca="1">IFERROR(__xludf.DUMMYFUNCTION("""COMPUTED_VALUE"""),"Annual Plan AS-OMNI-C-CL-EDU")</f>
        <v>Annual Plan AS-OMNI-C-CL-EDU</v>
      </c>
      <c r="C101" s="9" t="str">
        <f ca="1">IFERROR(__xludf.DUMMYFUNCTION("""COMPUTED_VALUE"""),"Platform")</f>
        <v>Platform</v>
      </c>
      <c r="D101" s="8" t="str">
        <f ca="1">IFERROR(__xludf.DUMMYFUNCTION("""COMPUTED_VALUE"""),"Recurring")</f>
        <v>Recurring</v>
      </c>
      <c r="E101" s="9" t="str">
        <f ca="1">IFERROR(__xludf.DUMMYFUNCTION("""COMPUTED_VALUE"""),"Appspace Education Cloud Subscription. Appspace Cloud access to all Appspace platform features for 50 devices, Premium Support, 50 GB cloud storage, and 50 GB/month cloud bandwidth.")</f>
        <v>Appspace Education Cloud Subscription. Appspace Cloud access to all Appspace platform features for 50 devices, Premium Support, 50 GB cloud storage, and 50 GB/month cloud bandwidth.</v>
      </c>
      <c r="F101" s="10" t="str">
        <f ca="1">IFERROR(__xludf.DUMMYFUNCTION("""COMPUTED_VALUE"""),"GBP")</f>
        <v>GBP</v>
      </c>
      <c r="G101" s="10">
        <f ca="1">IFERROR(__xludf.DUMMYFUNCTION("""COMPUTED_VALUE"""),1509)</f>
        <v>1509</v>
      </c>
      <c r="H101" s="10">
        <f ca="1">IFERROR(__xludf.DUMMYFUNCTION("""COMPUTED_VALUE"""),18108)</f>
        <v>18108</v>
      </c>
    </row>
    <row r="102" spans="1:8">
      <c r="A102" s="8" t="str">
        <f ca="1">IFERROR(__xludf.DUMMYFUNCTION("""COMPUTED_VALUE"""),"AS-OMNI-C-OP")</f>
        <v>AS-OMNI-C-OP</v>
      </c>
      <c r="B102" s="8" t="str">
        <f ca="1">IFERROR(__xludf.DUMMYFUNCTION("""COMPUTED_VALUE"""),"Annual Plan AS-OMNI-C-OP")</f>
        <v>Annual Plan AS-OMNI-C-OP</v>
      </c>
      <c r="C102" s="9" t="str">
        <f ca="1">IFERROR(__xludf.DUMMYFUNCTION("""COMPUTED_VALUE"""),"Platform")</f>
        <v>Platform</v>
      </c>
      <c r="D102" s="8" t="str">
        <f ca="1">IFERROR(__xludf.DUMMYFUNCTION("""COMPUTED_VALUE"""),"Recurring")</f>
        <v>Recurring</v>
      </c>
      <c r="E102" s="9" t="str">
        <f ca="1">IFERROR(__xludf.DUMMYFUNCTION("""COMPUTED_VALUE"""),"Appspace On-Prem Subscription. Self-managed on-prem, cloud or hybrid access to all Appspace platform features for 50 devices, Premium Support, 50 GB cloud storage, and 50 GB/month cloud bandwidth.")</f>
        <v>Appspace On-Prem Subscription. Self-managed on-prem, cloud or hybrid access to all Appspace platform features for 50 devices, Premium Support, 50 GB cloud storage, and 50 GB/month cloud bandwidth.</v>
      </c>
      <c r="F102" s="10" t="str">
        <f ca="1">IFERROR(__xludf.DUMMYFUNCTION("""COMPUTED_VALUE"""),"GBP")</f>
        <v>GBP</v>
      </c>
      <c r="G102" s="10">
        <f ca="1">IFERROR(__xludf.DUMMYFUNCTION("""COMPUTED_VALUE"""),3352)</f>
        <v>3352</v>
      </c>
      <c r="H102" s="10">
        <f ca="1">IFERROR(__xludf.DUMMYFUNCTION("""COMPUTED_VALUE"""),40224)</f>
        <v>40224</v>
      </c>
    </row>
    <row r="103" spans="1:8">
      <c r="A103" s="8" t="str">
        <f ca="1">IFERROR(__xludf.DUMMYFUNCTION("""COMPUTED_VALUE"""),"AS-OMNI-C-PV")</f>
        <v>AS-OMNI-C-PV</v>
      </c>
      <c r="B103" s="8" t="str">
        <f ca="1">IFERROR(__xludf.DUMMYFUNCTION("""COMPUTED_VALUE"""),"Annual Plan AS-OMNI-C-PV")</f>
        <v>Annual Plan AS-OMNI-C-PV</v>
      </c>
      <c r="C103" s="9" t="str">
        <f ca="1">IFERROR(__xludf.DUMMYFUNCTION("""COMPUTED_VALUE"""),"Platform")</f>
        <v>Platform</v>
      </c>
      <c r="D103" s="8" t="str">
        <f ca="1">IFERROR(__xludf.DUMMYFUNCTION("""COMPUTED_VALUE"""),"Recurring")</f>
        <v>Recurring</v>
      </c>
      <c r="E103" s="9" t="str">
        <f ca="1">IFERROR(__xludf.DUMMYFUNCTION("""COMPUTED_VALUE"""),"Appspace Private Cloud Subscription. Appspace private cloud instance access to all Appspace platform features for 50 devices, Premium Support, 100 GB cloud storage, and 100 GB/month cloud bandwidth.")</f>
        <v>Appspace Private Cloud Subscription. Appspace private cloud instance access to all Appspace platform features for 50 devices, Premium Support, 100 GB cloud storage, and 100 GB/month cloud bandwidth.</v>
      </c>
      <c r="F103" s="10" t="str">
        <f ca="1">IFERROR(__xludf.DUMMYFUNCTION("""COMPUTED_VALUE"""),"GBP")</f>
        <v>GBP</v>
      </c>
      <c r="G103" s="10">
        <f ca="1">IFERROR(__xludf.DUMMYFUNCTION("""COMPUTED_VALUE"""),2514)</f>
        <v>2514</v>
      </c>
      <c r="H103" s="10">
        <f ca="1">IFERROR(__xludf.DUMMYFUNCTION("""COMPUTED_VALUE"""),30168)</f>
        <v>30168</v>
      </c>
    </row>
    <row r="104" spans="1:8">
      <c r="A104" s="8" t="str">
        <f ca="1">IFERROR(__xludf.DUMMYFUNCTION("""COMPUTED_VALUE"""),"AS-OMNI-C-PV-EDU")</f>
        <v>AS-OMNI-C-PV-EDU</v>
      </c>
      <c r="B104" s="8" t="str">
        <f ca="1">IFERROR(__xludf.DUMMYFUNCTION("""COMPUTED_VALUE"""),"Annual Plan AS-OMNI-C-PV-EDU")</f>
        <v>Annual Plan AS-OMNI-C-PV-EDU</v>
      </c>
      <c r="C104" s="9" t="str">
        <f ca="1">IFERROR(__xludf.DUMMYFUNCTION("""COMPUTED_VALUE"""),"Platform")</f>
        <v>Platform</v>
      </c>
      <c r="D104" s="8" t="str">
        <f ca="1">IFERROR(__xludf.DUMMYFUNCTION("""COMPUTED_VALUE"""),"Recurring")</f>
        <v>Recurring</v>
      </c>
      <c r="E104" s="9" t="str">
        <f ca="1">IFERROR(__xludf.DUMMYFUNCTION("""COMPUTED_VALUE"""),"Appspace Education Private Cloud Subscription. Appspace private cloud instance access to all Appspace platform features for 50 devices, Premium Support, 100 GB cloud storage, and 100 GB/month cloud bandwidth.")</f>
        <v>Appspace Education Private Cloud Subscription. Appspace private cloud instance access to all Appspace platform features for 50 devices, Premium Support, 100 GB cloud storage, and 100 GB/month cloud bandwidth.</v>
      </c>
      <c r="F104" s="10" t="str">
        <f ca="1">IFERROR(__xludf.DUMMYFUNCTION("""COMPUTED_VALUE"""),"GBP")</f>
        <v>GBP</v>
      </c>
      <c r="G104" s="10">
        <f ca="1">IFERROR(__xludf.DUMMYFUNCTION("""COMPUTED_VALUE"""),2263)</f>
        <v>2263</v>
      </c>
      <c r="H104" s="10">
        <f ca="1">IFERROR(__xludf.DUMMYFUNCTION("""COMPUTED_VALUE"""),27156)</f>
        <v>27156</v>
      </c>
    </row>
    <row r="105" spans="1:8">
      <c r="A105" s="8" t="str">
        <f ca="1">IFERROR(__xludf.DUMMYFUNCTION("""COMPUTED_VALUE"""),"AS-OMNI-D2-CL")</f>
        <v>AS-OMNI-D2-CL</v>
      </c>
      <c r="B105" s="8" t="str">
        <f ca="1">IFERROR(__xludf.DUMMYFUNCTION("""COMPUTED_VALUE"""),"Annual Plan AS-OMNI-D2-CL")</f>
        <v>Annual Plan AS-OMNI-D2-CL</v>
      </c>
      <c r="C105" s="9" t="str">
        <f ca="1">IFERROR(__xludf.DUMMYFUNCTION("""COMPUTED_VALUE"""),"Platform")</f>
        <v>Platform</v>
      </c>
      <c r="D105" s="8" t="str">
        <f ca="1">IFERROR(__xludf.DUMMYFUNCTION("""COMPUTED_VALUE"""),"Recurring")</f>
        <v>Recurring</v>
      </c>
      <c r="E105" s="9" t="str">
        <f ca="1">IFERROR(__xludf.DUMMYFUNCTION("""COMPUTED_VALUE"""),"Appspace Cloud Subscription. Appspace Cloud access to all Appspace platform features for 500 devices, Premium Support, 500 GB cloud storage, and 500 GB/month cloud bandwidth.")</f>
        <v>Appspace Cloud Subscription. Appspace Cloud access to all Appspace platform features for 500 devices, Premium Support, 500 GB cloud storage, and 500 GB/month cloud bandwidth.</v>
      </c>
      <c r="F105" s="10" t="str">
        <f ca="1">IFERROR(__xludf.DUMMYFUNCTION("""COMPUTED_VALUE"""),"GBP")</f>
        <v>GBP</v>
      </c>
      <c r="G105" s="10">
        <f ca="1">IFERROR(__xludf.DUMMYFUNCTION("""COMPUTED_VALUE"""),6202)</f>
        <v>6202</v>
      </c>
      <c r="H105" s="10">
        <f ca="1">IFERROR(__xludf.DUMMYFUNCTION("""COMPUTED_VALUE"""),74424)</f>
        <v>74424</v>
      </c>
    </row>
    <row r="106" spans="1:8">
      <c r="A106" s="8" t="str">
        <f ca="1">IFERROR(__xludf.DUMMYFUNCTION("""COMPUTED_VALUE"""),"AS-OMNI-D2-OP")</f>
        <v>AS-OMNI-D2-OP</v>
      </c>
      <c r="B106" s="8" t="str">
        <f ca="1">IFERROR(__xludf.DUMMYFUNCTION("""COMPUTED_VALUE"""),"Annual Plan AS-OMNI-D2-OP")</f>
        <v>Annual Plan AS-OMNI-D2-OP</v>
      </c>
      <c r="C106" s="9" t="str">
        <f ca="1">IFERROR(__xludf.DUMMYFUNCTION("""COMPUTED_VALUE"""),"Platform")</f>
        <v>Platform</v>
      </c>
      <c r="D106" s="8" t="str">
        <f ca="1">IFERROR(__xludf.DUMMYFUNCTION("""COMPUTED_VALUE"""),"Recurring")</f>
        <v>Recurring</v>
      </c>
      <c r="E106" s="9" t="str">
        <f ca="1">IFERROR(__xludf.DUMMYFUNCTION("""COMPUTED_VALUE"""),"Appspace On-Prem Subscription. Self-managed on-prem, cloud or hybrid access to all Appspace platform features for 500 devices, Premium Support, 500 GB cloud storage, and 500 GB/month cloud bandwidth.")</f>
        <v>Appspace On-Prem Subscription. Self-managed on-prem, cloud or hybrid access to all Appspace platform features for 500 devices, Premium Support, 500 GB cloud storage, and 500 GB/month cloud bandwidth.</v>
      </c>
      <c r="F106" s="10" t="str">
        <f ca="1">IFERROR(__xludf.DUMMYFUNCTION("""COMPUTED_VALUE"""),"GBP")</f>
        <v>GBP</v>
      </c>
      <c r="G106" s="10">
        <f ca="1">IFERROR(__xludf.DUMMYFUNCTION("""COMPUTED_VALUE"""),12403)</f>
        <v>12403</v>
      </c>
      <c r="H106" s="10">
        <f ca="1">IFERROR(__xludf.DUMMYFUNCTION("""COMPUTED_VALUE"""),148836)</f>
        <v>148836</v>
      </c>
    </row>
    <row r="107" spans="1:8">
      <c r="A107" s="8" t="str">
        <f ca="1">IFERROR(__xludf.DUMMYFUNCTION("""COMPUTED_VALUE"""),"AS-OMNI-D2-PV")</f>
        <v>AS-OMNI-D2-PV</v>
      </c>
      <c r="B107" s="8" t="str">
        <f ca="1">IFERROR(__xludf.DUMMYFUNCTION("""COMPUTED_VALUE"""),"Annual Plan AS-OMNI-D2-PV")</f>
        <v>Annual Plan AS-OMNI-D2-PV</v>
      </c>
      <c r="C107" s="9" t="str">
        <f ca="1">IFERROR(__xludf.DUMMYFUNCTION("""COMPUTED_VALUE"""),"Platform")</f>
        <v>Platform</v>
      </c>
      <c r="D107" s="8" t="str">
        <f ca="1">IFERROR(__xludf.DUMMYFUNCTION("""COMPUTED_VALUE"""),"Recurring")</f>
        <v>Recurring</v>
      </c>
      <c r="E107" s="9" t="str">
        <f ca="1">IFERROR(__xludf.DUMMYFUNCTION("""COMPUTED_VALUE"""),"Appspace Private Cloud Subscription. Appspace private cloud instance access to all Appspace platform features for 500 devices, Premium Support, 1000 GB cloud storage, and 1000GB/month cloud bandwidth.")</f>
        <v>Appspace Private Cloud Subscription. Appspace private cloud instance access to all Appspace platform features for 500 devices, Premium Support, 1000 GB cloud storage, and 1000GB/month cloud bandwidth.</v>
      </c>
      <c r="F107" s="10" t="str">
        <f ca="1">IFERROR(__xludf.DUMMYFUNCTION("""COMPUTED_VALUE"""),"GBP")</f>
        <v>GBP</v>
      </c>
      <c r="G107" s="10">
        <f ca="1">IFERROR(__xludf.DUMMYFUNCTION("""COMPUTED_VALUE"""),9303)</f>
        <v>9303</v>
      </c>
      <c r="H107" s="10">
        <f ca="1">IFERROR(__xludf.DUMMYFUNCTION("""COMPUTED_VALUE"""),111636)</f>
        <v>111636</v>
      </c>
    </row>
    <row r="108" spans="1:8">
      <c r="A108" s="8" t="str">
        <f ca="1">IFERROR(__xludf.DUMMYFUNCTION("""COMPUTED_VALUE"""),"AS-OMNI-D-CL")</f>
        <v>AS-OMNI-D-CL</v>
      </c>
      <c r="B108" s="8" t="str">
        <f ca="1">IFERROR(__xludf.DUMMYFUNCTION("""COMPUTED_VALUE"""),"Annual Plan AS-OMNI-D-CL")</f>
        <v>Annual Plan AS-OMNI-D-CL</v>
      </c>
      <c r="C108" s="9" t="str">
        <f ca="1">IFERROR(__xludf.DUMMYFUNCTION("""COMPUTED_VALUE"""),"Platform")</f>
        <v>Platform</v>
      </c>
      <c r="D108" s="8" t="str">
        <f ca="1">IFERROR(__xludf.DUMMYFUNCTION("""COMPUTED_VALUE"""),"Recurring")</f>
        <v>Recurring</v>
      </c>
      <c r="E108" s="9" t="str">
        <f ca="1">IFERROR(__xludf.DUMMYFUNCTION("""COMPUTED_VALUE"""),"Appspace Cloud Subscription. Appspace Cloud access to all Appspace platform features for 250 devices, Premium Support, 250 GB cloud storage, and 250 GB/month cloud bandwidth.")</f>
        <v>Appspace Cloud Subscription. Appspace Cloud access to all Appspace platform features for 250 devices, Premium Support, 250 GB cloud storage, and 250 GB/month cloud bandwidth.</v>
      </c>
      <c r="F108" s="10" t="str">
        <f ca="1">IFERROR(__xludf.DUMMYFUNCTION("""COMPUTED_VALUE"""),"GBP")</f>
        <v>GBP</v>
      </c>
      <c r="G108" s="10">
        <f ca="1">IFERROR(__xludf.DUMMYFUNCTION("""COMPUTED_VALUE"""),4534)</f>
        <v>4534</v>
      </c>
      <c r="H108" s="10">
        <f ca="1">IFERROR(__xludf.DUMMYFUNCTION("""COMPUTED_VALUE"""),54408)</f>
        <v>54408</v>
      </c>
    </row>
    <row r="109" spans="1:8">
      <c r="A109" s="8" t="str">
        <f ca="1">IFERROR(__xludf.DUMMYFUNCTION("""COMPUTED_VALUE"""),"AS-OMNI-D-CL-EDU")</f>
        <v>AS-OMNI-D-CL-EDU</v>
      </c>
      <c r="B109" s="8" t="str">
        <f ca="1">IFERROR(__xludf.DUMMYFUNCTION("""COMPUTED_VALUE"""),"Annual Plan AS-OMNI-D-CL-EDU")</f>
        <v>Annual Plan AS-OMNI-D-CL-EDU</v>
      </c>
      <c r="C109" s="9" t="str">
        <f ca="1">IFERROR(__xludf.DUMMYFUNCTION("""COMPUTED_VALUE"""),"Platform")</f>
        <v>Platform</v>
      </c>
      <c r="D109" s="8" t="str">
        <f ca="1">IFERROR(__xludf.DUMMYFUNCTION("""COMPUTED_VALUE"""),"Recurring")</f>
        <v>Recurring</v>
      </c>
      <c r="E109" s="9" t="str">
        <f ca="1">IFERROR(__xludf.DUMMYFUNCTION("""COMPUTED_VALUE"""),"Appspace Education Cloud Subscription. Appspace Cloud access to all Appspace platform features for 250 devices, Premium Support, 250 GB cloud storage, and 250 GB/month cloud bandwidth.")</f>
        <v>Appspace Education Cloud Subscription. Appspace Cloud access to all Appspace platform features for 250 devices, Premium Support, 250 GB cloud storage, and 250 GB/month cloud bandwidth.</v>
      </c>
      <c r="F109" s="10" t="str">
        <f ca="1">IFERROR(__xludf.DUMMYFUNCTION("""COMPUTED_VALUE"""),"GBP")</f>
        <v>GBP</v>
      </c>
      <c r="G109" s="8">
        <f ca="1">IFERROR(__xludf.DUMMYFUNCTION("""COMPUTED_VALUE"""),4081)</f>
        <v>4081</v>
      </c>
      <c r="H109" s="10">
        <f ca="1">IFERROR(__xludf.DUMMYFUNCTION("""COMPUTED_VALUE"""),48972)</f>
        <v>48972</v>
      </c>
    </row>
    <row r="110" spans="1:8">
      <c r="A110" s="8" t="str">
        <f ca="1">IFERROR(__xludf.DUMMYFUNCTION("""COMPUTED_VALUE"""),"AS-OMNI-D-OP")</f>
        <v>AS-OMNI-D-OP</v>
      </c>
      <c r="B110" s="8" t="str">
        <f ca="1">IFERROR(__xludf.DUMMYFUNCTION("""COMPUTED_VALUE"""),"Annual Plan AS-OMNI-D-OP")</f>
        <v>Annual Plan AS-OMNI-D-OP</v>
      </c>
      <c r="C110" s="9" t="str">
        <f ca="1">IFERROR(__xludf.DUMMYFUNCTION("""COMPUTED_VALUE"""),"Platform")</f>
        <v>Platform</v>
      </c>
      <c r="D110" s="8" t="str">
        <f ca="1">IFERROR(__xludf.DUMMYFUNCTION("""COMPUTED_VALUE"""),"Recurring")</f>
        <v>Recurring</v>
      </c>
      <c r="E110" s="9" t="str">
        <f ca="1">IFERROR(__xludf.DUMMYFUNCTION("""COMPUTED_VALUE"""),"Appspace On-Prem Subscription. Self-managed on-prem, cloud or hybrid access to all Appspace platform features for 250 devices, Premium Support, 250 GB cloud storage, and 250 GB/month cloud bandwidth.")</f>
        <v>Appspace On-Prem Subscription. Self-managed on-prem, cloud or hybrid access to all Appspace platform features for 250 devices, Premium Support, 250 GB cloud storage, and 250 GB/month cloud bandwidth.</v>
      </c>
      <c r="F110" s="10" t="str">
        <f ca="1">IFERROR(__xludf.DUMMYFUNCTION("""COMPUTED_VALUE"""),"GBP")</f>
        <v>GBP</v>
      </c>
      <c r="G110" s="8">
        <f ca="1">IFERROR(__xludf.DUMMYFUNCTION("""COMPUTED_VALUE"""),9068)</f>
        <v>9068</v>
      </c>
      <c r="H110" s="10">
        <f ca="1">IFERROR(__xludf.DUMMYFUNCTION("""COMPUTED_VALUE"""),108816)</f>
        <v>108816</v>
      </c>
    </row>
    <row r="111" spans="1:8">
      <c r="A111" s="8" t="str">
        <f ca="1">IFERROR(__xludf.DUMMYFUNCTION("""COMPUTED_VALUE"""),"AS-OMNI-D-PV")</f>
        <v>AS-OMNI-D-PV</v>
      </c>
      <c r="B111" s="8" t="str">
        <f ca="1">IFERROR(__xludf.DUMMYFUNCTION("""COMPUTED_VALUE"""),"Annual Plan AS-OMNI-D-PV")</f>
        <v>Annual Plan AS-OMNI-D-PV</v>
      </c>
      <c r="C111" s="9" t="str">
        <f ca="1">IFERROR(__xludf.DUMMYFUNCTION("""COMPUTED_VALUE"""),"Platform")</f>
        <v>Platform</v>
      </c>
      <c r="D111" s="8" t="str">
        <f ca="1">IFERROR(__xludf.DUMMYFUNCTION("""COMPUTED_VALUE"""),"Recurring")</f>
        <v>Recurring</v>
      </c>
      <c r="E111" s="9" t="str">
        <f ca="1">IFERROR(__xludf.DUMMYFUNCTION("""COMPUTED_VALUE"""),"Appspace Private Cloud Subscription. Appspace private cloud instance access to all Appspace platform features for 250 devices, Premium Support, 500 GB cloud storage, and 500GB/month cloud bandwidth.")</f>
        <v>Appspace Private Cloud Subscription. Appspace private cloud instance access to all Appspace platform features for 250 devices, Premium Support, 500 GB cloud storage, and 500GB/month cloud bandwidth.</v>
      </c>
      <c r="F111" s="8" t="str">
        <f ca="1">IFERROR(__xludf.DUMMYFUNCTION("""COMPUTED_VALUE"""),"GBP")</f>
        <v>GBP</v>
      </c>
      <c r="G111" s="8">
        <f ca="1">IFERROR(__xludf.DUMMYFUNCTION("""COMPUTED_VALUE"""),6801)</f>
        <v>6801</v>
      </c>
      <c r="H111" s="10">
        <f ca="1">IFERROR(__xludf.DUMMYFUNCTION("""COMPUTED_VALUE"""),81612)</f>
        <v>81612</v>
      </c>
    </row>
    <row r="112" spans="1:8">
      <c r="A112" s="8" t="str">
        <f ca="1">IFERROR(__xludf.DUMMYFUNCTION("""COMPUTED_VALUE"""),"AS-OMNI-D-PV-EDU")</f>
        <v>AS-OMNI-D-PV-EDU</v>
      </c>
      <c r="B112" s="8" t="str">
        <f ca="1">IFERROR(__xludf.DUMMYFUNCTION("""COMPUTED_VALUE"""),"Annual Plan AS-OMNI-D-PV-EDU")</f>
        <v>Annual Plan AS-OMNI-D-PV-EDU</v>
      </c>
      <c r="C112" s="9" t="str">
        <f ca="1">IFERROR(__xludf.DUMMYFUNCTION("""COMPUTED_VALUE"""),"Platform")</f>
        <v>Platform</v>
      </c>
      <c r="D112" s="8" t="str">
        <f ca="1">IFERROR(__xludf.DUMMYFUNCTION("""COMPUTED_VALUE"""),"Recurring")</f>
        <v>Recurring</v>
      </c>
      <c r="E112" s="9" t="str">
        <f ca="1">IFERROR(__xludf.DUMMYFUNCTION("""COMPUTED_VALUE"""),"Appspace Education Private Cloud Subscription. Appspace private cloud instance access to all Appspace platform features for 250 devices, Premium Support, 500 GB cloud storage, and 500GB/month cloud bandwidth.")</f>
        <v>Appspace Education Private Cloud Subscription. Appspace private cloud instance access to all Appspace platform features for 250 devices, Premium Support, 500 GB cloud storage, and 500GB/month cloud bandwidth.</v>
      </c>
      <c r="F112" s="10" t="str">
        <f ca="1">IFERROR(__xludf.DUMMYFUNCTION("""COMPUTED_VALUE"""),"GBP")</f>
        <v>GBP</v>
      </c>
      <c r="G112" s="8">
        <f ca="1">IFERROR(__xludf.DUMMYFUNCTION("""COMPUTED_VALUE"""),6121)</f>
        <v>6121</v>
      </c>
      <c r="H112" s="10">
        <f ca="1">IFERROR(__xludf.DUMMYFUNCTION("""COMPUTED_VALUE"""),73452)</f>
        <v>73452</v>
      </c>
    </row>
    <row r="113" spans="1:8">
      <c r="A113" s="8" t="str">
        <f ca="1">IFERROR(__xludf.DUMMYFUNCTION("""COMPUTED_VALUE"""),"AS-OMNI-E2-CL")</f>
        <v>AS-OMNI-E2-CL</v>
      </c>
      <c r="B113" s="8" t="str">
        <f ca="1">IFERROR(__xludf.DUMMYFUNCTION("""COMPUTED_VALUE"""),"Annual Plan AS-OMNI-E2-CL")</f>
        <v>Annual Plan AS-OMNI-E2-CL</v>
      </c>
      <c r="C113" s="9" t="str">
        <f ca="1">IFERROR(__xludf.DUMMYFUNCTION("""COMPUTED_VALUE"""),"Platform")</f>
        <v>Platform</v>
      </c>
      <c r="D113" s="8" t="str">
        <f ca="1">IFERROR(__xludf.DUMMYFUNCTION("""COMPUTED_VALUE"""),"Recurring")</f>
        <v>Recurring</v>
      </c>
      <c r="E113" s="9" t="str">
        <f ca="1">IFERROR(__xludf.DUMMYFUNCTION("""COMPUTED_VALUE"""),"Appspace Cloud Subscription. Appspace Cloud access to all Appspace platform features for 2,000 devices, Elite Support, 2,000 GB cloud storage, and 2,000 GB/month cloud bandwidth.")</f>
        <v>Appspace Cloud Subscription. Appspace Cloud access to all Appspace platform features for 2,000 devices, Elite Support, 2,000 GB cloud storage, and 2,000 GB/month cloud bandwidth.</v>
      </c>
      <c r="F113" s="10" t="str">
        <f ca="1">IFERROR(__xludf.DUMMYFUNCTION("""COMPUTED_VALUE"""),"GBP")</f>
        <v>GBP</v>
      </c>
      <c r="G113" s="8">
        <f ca="1">IFERROR(__xludf.DUMMYFUNCTION("""COMPUTED_VALUE"""),14323)</f>
        <v>14323</v>
      </c>
      <c r="H113" s="10">
        <f ca="1">IFERROR(__xludf.DUMMYFUNCTION("""COMPUTED_VALUE"""),171876)</f>
        <v>171876</v>
      </c>
    </row>
    <row r="114" spans="1:8">
      <c r="A114" s="8" t="str">
        <f ca="1">IFERROR(__xludf.DUMMYFUNCTION("""COMPUTED_VALUE"""),"AS-OMNI-E2-OP")</f>
        <v>AS-OMNI-E2-OP</v>
      </c>
      <c r="B114" s="8" t="str">
        <f ca="1">IFERROR(__xludf.DUMMYFUNCTION("""COMPUTED_VALUE"""),"Annual Plan AS-OMNI-E2-OP")</f>
        <v>Annual Plan AS-OMNI-E2-OP</v>
      </c>
      <c r="C114" s="9" t="str">
        <f ca="1">IFERROR(__xludf.DUMMYFUNCTION("""COMPUTED_VALUE"""),"Platform")</f>
        <v>Platform</v>
      </c>
      <c r="D114" s="8" t="str">
        <f ca="1">IFERROR(__xludf.DUMMYFUNCTION("""COMPUTED_VALUE"""),"Recurring")</f>
        <v>Recurring</v>
      </c>
      <c r="E114" s="9" t="str">
        <f ca="1">IFERROR(__xludf.DUMMYFUNCTION("""COMPUTED_VALUE"""),"Appspace On-Prem Subscription. Self-managed on-prem, cloud or hybrid access to all Appspace platform features for 2,000 devices, Elite Support, 2,000 GB cloud storage, and 2,000 GB/month cloud bandwidth.")</f>
        <v>Appspace On-Prem Subscription. Self-managed on-prem, cloud or hybrid access to all Appspace platform features for 2,000 devices, Elite Support, 2,000 GB cloud storage, and 2,000 GB/month cloud bandwidth.</v>
      </c>
      <c r="F114" s="10" t="str">
        <f ca="1">IFERROR(__xludf.DUMMYFUNCTION("""COMPUTED_VALUE"""),"GBP")</f>
        <v>GBP</v>
      </c>
      <c r="G114" s="8">
        <f ca="1">IFERROR(__xludf.DUMMYFUNCTION("""COMPUTED_VALUE"""),28645)</f>
        <v>28645</v>
      </c>
      <c r="H114" s="10">
        <f ca="1">IFERROR(__xludf.DUMMYFUNCTION("""COMPUTED_VALUE"""),343740)</f>
        <v>343740</v>
      </c>
    </row>
    <row r="115" spans="1:8">
      <c r="A115" s="8" t="str">
        <f ca="1">IFERROR(__xludf.DUMMYFUNCTION("""COMPUTED_VALUE"""),"AS-OMNI-E2-PV")</f>
        <v>AS-OMNI-E2-PV</v>
      </c>
      <c r="B115" s="8" t="str">
        <f ca="1">IFERROR(__xludf.DUMMYFUNCTION("""COMPUTED_VALUE"""),"Annual Plan AS-OMNI-E2-PV")</f>
        <v>Annual Plan AS-OMNI-E2-PV</v>
      </c>
      <c r="C115" s="9" t="str">
        <f ca="1">IFERROR(__xludf.DUMMYFUNCTION("""COMPUTED_VALUE"""),"Platform")</f>
        <v>Platform</v>
      </c>
      <c r="D115" s="8" t="str">
        <f ca="1">IFERROR(__xludf.DUMMYFUNCTION("""COMPUTED_VALUE"""),"Recurring")</f>
        <v>Recurring</v>
      </c>
      <c r="E115" s="9" t="str">
        <f ca="1">IFERROR(__xludf.DUMMYFUNCTION("""COMPUTED_VALUE"""),"Appspace Private Cloud Subscription. Appspace private cloud instance access to all Appspace platform features for 2,000 devices, Elite Support, 4,000 GB cloud storage, and 4,000 GB/month cloud bandwidth.")</f>
        <v>Appspace Private Cloud Subscription. Appspace private cloud instance access to all Appspace platform features for 2,000 devices, Elite Support, 4,000 GB cloud storage, and 4,000 GB/month cloud bandwidth.</v>
      </c>
      <c r="F115" s="10" t="str">
        <f ca="1">IFERROR(__xludf.DUMMYFUNCTION("""COMPUTED_VALUE"""),"GBP")</f>
        <v>GBP</v>
      </c>
      <c r="G115" s="8">
        <f ca="1">IFERROR(__xludf.DUMMYFUNCTION("""COMPUTED_VALUE"""),21484)</f>
        <v>21484</v>
      </c>
      <c r="H115" s="10">
        <f ca="1">IFERROR(__xludf.DUMMYFUNCTION("""COMPUTED_VALUE"""),257808)</f>
        <v>257808</v>
      </c>
    </row>
    <row r="116" spans="1:8">
      <c r="A116" s="8" t="str">
        <f ca="1">IFERROR(__xludf.DUMMYFUNCTION("""COMPUTED_VALUE"""),"AS-OMNI-E-CL")</f>
        <v>AS-OMNI-E-CL</v>
      </c>
      <c r="B116" s="8" t="str">
        <f ca="1">IFERROR(__xludf.DUMMYFUNCTION("""COMPUTED_VALUE"""),"Annual Plan AS-OMNI-E-CL")</f>
        <v>Annual Plan AS-OMNI-E-CL</v>
      </c>
      <c r="C116" s="9" t="str">
        <f ca="1">IFERROR(__xludf.DUMMYFUNCTION("""COMPUTED_VALUE"""),"Platform")</f>
        <v>Platform</v>
      </c>
      <c r="D116" s="8" t="str">
        <f ca="1">IFERROR(__xludf.DUMMYFUNCTION("""COMPUTED_VALUE"""),"Recurring")</f>
        <v>Recurring</v>
      </c>
      <c r="E116" s="9" t="str">
        <f ca="1">IFERROR(__xludf.DUMMYFUNCTION("""COMPUTED_VALUE"""),"Appspace Cloud Subscription. Appspace Cloud access to all Appspace platform features for 1,000 devices, Elite Support, 1,000 GB cloud storage, and 1,000 GB/month cloud bandwidth.")</f>
        <v>Appspace Cloud Subscription. Appspace Cloud access to all Appspace platform features for 1,000 devices, Elite Support, 1,000 GB cloud storage, and 1,000 GB/month cloud bandwidth.</v>
      </c>
      <c r="F116" s="8" t="str">
        <f ca="1">IFERROR(__xludf.DUMMYFUNCTION("""COMPUTED_VALUE"""),"GBP")</f>
        <v>GBP</v>
      </c>
      <c r="G116" s="8">
        <f ca="1">IFERROR(__xludf.DUMMYFUNCTION("""COMPUTED_VALUE"""),9076)</f>
        <v>9076</v>
      </c>
      <c r="H116" s="10">
        <f ca="1">IFERROR(__xludf.DUMMYFUNCTION("""COMPUTED_VALUE"""),108912)</f>
        <v>108912</v>
      </c>
    </row>
    <row r="117" spans="1:8">
      <c r="A117" s="8" t="str">
        <f ca="1">IFERROR(__xludf.DUMMYFUNCTION("""COMPUTED_VALUE"""),"AS-OMNI-E-CL-EDU")</f>
        <v>AS-OMNI-E-CL-EDU</v>
      </c>
      <c r="B117" s="8" t="str">
        <f ca="1">IFERROR(__xludf.DUMMYFUNCTION("""COMPUTED_VALUE"""),"Annual Plan AS-OMNI-E-CL-EDU")</f>
        <v>Annual Plan AS-OMNI-E-CL-EDU</v>
      </c>
      <c r="C117" s="9" t="str">
        <f ca="1">IFERROR(__xludf.DUMMYFUNCTION("""COMPUTED_VALUE"""),"Platform")</f>
        <v>Platform</v>
      </c>
      <c r="D117" s="8" t="str">
        <f ca="1">IFERROR(__xludf.DUMMYFUNCTION("""COMPUTED_VALUE"""),"Recurring")</f>
        <v>Recurring</v>
      </c>
      <c r="E117" s="9" t="str">
        <f ca="1">IFERROR(__xludf.DUMMYFUNCTION("""COMPUTED_VALUE"""),"Appspace Education Cloud Subscription. Appspace Cloud access to all Appspace platform features for 1,000 devices, Elite Support, 1,000 GB cloud storage, and 1,000 GB/month cloud bandwidth.")</f>
        <v>Appspace Education Cloud Subscription. Appspace Cloud access to all Appspace platform features for 1,000 devices, Elite Support, 1,000 GB cloud storage, and 1,000 GB/month cloud bandwidth.</v>
      </c>
      <c r="F117" s="10" t="str">
        <f ca="1">IFERROR(__xludf.DUMMYFUNCTION("""COMPUTED_VALUE"""),"GBP")</f>
        <v>GBP</v>
      </c>
      <c r="G117" s="8">
        <f ca="1">IFERROR(__xludf.DUMMYFUNCTION("""COMPUTED_VALUE"""),8169)</f>
        <v>8169</v>
      </c>
      <c r="H117" s="10">
        <f ca="1">IFERROR(__xludf.DUMMYFUNCTION("""COMPUTED_VALUE"""),98028)</f>
        <v>98028</v>
      </c>
    </row>
    <row r="118" spans="1:8">
      <c r="A118" s="8" t="str">
        <f ca="1">IFERROR(__xludf.DUMMYFUNCTION("""COMPUTED_VALUE"""),"AS-OMNI-E-OP")</f>
        <v>AS-OMNI-E-OP</v>
      </c>
      <c r="B118" s="8" t="str">
        <f ca="1">IFERROR(__xludf.DUMMYFUNCTION("""COMPUTED_VALUE"""),"Annual Plan AS-OMNI-E-OP")</f>
        <v>Annual Plan AS-OMNI-E-OP</v>
      </c>
      <c r="C118" s="9" t="str">
        <f ca="1">IFERROR(__xludf.DUMMYFUNCTION("""COMPUTED_VALUE"""),"Platform")</f>
        <v>Platform</v>
      </c>
      <c r="D118" s="8" t="str">
        <f ca="1">IFERROR(__xludf.DUMMYFUNCTION("""COMPUTED_VALUE"""),"Recurring")</f>
        <v>Recurring</v>
      </c>
      <c r="E118" s="9" t="str">
        <f ca="1">IFERROR(__xludf.DUMMYFUNCTION("""COMPUTED_VALUE"""),"Appspace On-Prem Subscription. Self-managed on-prem, cloud or hybrid access to all Appspace platform features for 1,000 devices, Elite Support, 1,000 GB cloud storage, and 1,000 GB/month cloud bandwidth.")</f>
        <v>Appspace On-Prem Subscription. Self-managed on-prem, cloud or hybrid access to all Appspace platform features for 1,000 devices, Elite Support, 1,000 GB cloud storage, and 1,000 GB/month cloud bandwidth.</v>
      </c>
      <c r="F118" s="10" t="str">
        <f ca="1">IFERROR(__xludf.DUMMYFUNCTION("""COMPUTED_VALUE"""),"GBP")</f>
        <v>GBP</v>
      </c>
      <c r="G118" s="8">
        <f ca="1">IFERROR(__xludf.DUMMYFUNCTION("""COMPUTED_VALUE"""),18152)</f>
        <v>18152</v>
      </c>
      <c r="H118" s="10">
        <f ca="1">IFERROR(__xludf.DUMMYFUNCTION("""COMPUTED_VALUE"""),217824)</f>
        <v>217824</v>
      </c>
    </row>
    <row r="119" spans="1:8">
      <c r="A119" s="8" t="str">
        <f ca="1">IFERROR(__xludf.DUMMYFUNCTION("""COMPUTED_VALUE"""),"AS-OMNI-E-PV")</f>
        <v>AS-OMNI-E-PV</v>
      </c>
      <c r="B119" s="8" t="str">
        <f ca="1">IFERROR(__xludf.DUMMYFUNCTION("""COMPUTED_VALUE"""),"Annual Plan AS-OMNI-E-PV")</f>
        <v>Annual Plan AS-OMNI-E-PV</v>
      </c>
      <c r="C119" s="9" t="str">
        <f ca="1">IFERROR(__xludf.DUMMYFUNCTION("""COMPUTED_VALUE"""),"Platform")</f>
        <v>Platform</v>
      </c>
      <c r="D119" s="8" t="str">
        <f ca="1">IFERROR(__xludf.DUMMYFUNCTION("""COMPUTED_VALUE"""),"Recurring")</f>
        <v>Recurring</v>
      </c>
      <c r="E119" s="9" t="str">
        <f ca="1">IFERROR(__xludf.DUMMYFUNCTION("""COMPUTED_VALUE"""),"Appspace Private Cloud Subscription. Appspace private cloud instance access to all Appspace platform features for 1,000 devices, Elite Support, 2,000 GB cloud storage, and 2,000 GB/month cloud bandwidth.")</f>
        <v>Appspace Private Cloud Subscription. Appspace private cloud instance access to all Appspace platform features for 1,000 devices, Elite Support, 2,000 GB cloud storage, and 2,000 GB/month cloud bandwidth.</v>
      </c>
      <c r="F119" s="10" t="str">
        <f ca="1">IFERROR(__xludf.DUMMYFUNCTION("""COMPUTED_VALUE"""),"GBP")</f>
        <v>GBP</v>
      </c>
      <c r="G119" s="8">
        <f ca="1">IFERROR(__xludf.DUMMYFUNCTION("""COMPUTED_VALUE"""),13614)</f>
        <v>13614</v>
      </c>
      <c r="H119" s="10">
        <f ca="1">IFERROR(__xludf.DUMMYFUNCTION("""COMPUTED_VALUE"""),163368)</f>
        <v>163368</v>
      </c>
    </row>
    <row r="120" spans="1:8">
      <c r="A120" s="8" t="str">
        <f ca="1">IFERROR(__xludf.DUMMYFUNCTION("""COMPUTED_VALUE"""),"AS-OMNI-E-PV-EDU")</f>
        <v>AS-OMNI-E-PV-EDU</v>
      </c>
      <c r="B120" s="8" t="str">
        <f ca="1">IFERROR(__xludf.DUMMYFUNCTION("""COMPUTED_VALUE"""),"Annual Plan AS-OMNI-E-PV-EDU")</f>
        <v>Annual Plan AS-OMNI-E-PV-EDU</v>
      </c>
      <c r="C120" s="9" t="str">
        <f ca="1">IFERROR(__xludf.DUMMYFUNCTION("""COMPUTED_VALUE"""),"Platform")</f>
        <v>Platform</v>
      </c>
      <c r="D120" s="8" t="str">
        <f ca="1">IFERROR(__xludf.DUMMYFUNCTION("""COMPUTED_VALUE"""),"Recurring")</f>
        <v>Recurring</v>
      </c>
      <c r="E120" s="9" t="str">
        <f ca="1">IFERROR(__xludf.DUMMYFUNCTION("""COMPUTED_VALUE"""),"Appspace Education Private Cloud Subscription. Appspace private cloud instance access to all Appspace platform features for 1,000 devices, Elite Support, 2,000 GB cloud storage, and 2,000 GB/month cloud bandwidth.")</f>
        <v>Appspace Education Private Cloud Subscription. Appspace private cloud instance access to all Appspace platform features for 1,000 devices, Elite Support, 2,000 GB cloud storage, and 2,000 GB/month cloud bandwidth.</v>
      </c>
      <c r="F120" s="10" t="str">
        <f ca="1">IFERROR(__xludf.DUMMYFUNCTION("""COMPUTED_VALUE"""),"GBP")</f>
        <v>GBP</v>
      </c>
      <c r="G120" s="8">
        <f ca="1">IFERROR(__xludf.DUMMYFUNCTION("""COMPUTED_VALUE"""),12252)</f>
        <v>12252</v>
      </c>
      <c r="H120" s="10">
        <f ca="1">IFERROR(__xludf.DUMMYFUNCTION("""COMPUTED_VALUE"""),147024)</f>
        <v>147024</v>
      </c>
    </row>
    <row r="121" spans="1:8">
      <c r="A121" s="8" t="str">
        <f ca="1">IFERROR(__xludf.DUMMYFUNCTION("""COMPUTED_VALUE"""),"AS-OMNI-F-CL")</f>
        <v>AS-OMNI-F-CL</v>
      </c>
      <c r="B121" s="8" t="str">
        <f ca="1">IFERROR(__xludf.DUMMYFUNCTION("""COMPUTED_VALUE"""),"Annual Plan AS-OMNI-F-CL")</f>
        <v>Annual Plan AS-OMNI-F-CL</v>
      </c>
      <c r="C121" s="9" t="str">
        <f ca="1">IFERROR(__xludf.DUMMYFUNCTION("""COMPUTED_VALUE"""),"Platform")</f>
        <v>Platform</v>
      </c>
      <c r="D121" s="8" t="str">
        <f ca="1">IFERROR(__xludf.DUMMYFUNCTION("""COMPUTED_VALUE"""),"Recurring")</f>
        <v>Recurring</v>
      </c>
      <c r="E121" s="9" t="str">
        <f ca="1">IFERROR(__xludf.DUMMYFUNCTION("""COMPUTED_VALUE"""),"Appspace Cloud Subscription. Appspace Cloud access to all Appspace platform features for 3,000 devices, Elite Support, 3,000 GB cloud storage, and 3,000 GB/month cloud bandwidth.")</f>
        <v>Appspace Cloud Subscription. Appspace Cloud access to all Appspace platform features for 3,000 devices, Elite Support, 3,000 GB cloud storage, and 3,000 GB/month cloud bandwidth.</v>
      </c>
      <c r="F121" s="10" t="str">
        <f ca="1">IFERROR(__xludf.DUMMYFUNCTION("""COMPUTED_VALUE"""),"GBP")</f>
        <v>GBP</v>
      </c>
      <c r="G121" s="8">
        <f ca="1">IFERROR(__xludf.DUMMYFUNCTION("""COMPUTED_VALUE"""),18622)</f>
        <v>18622</v>
      </c>
      <c r="H121" s="10">
        <f ca="1">IFERROR(__xludf.DUMMYFUNCTION("""COMPUTED_VALUE"""),223464)</f>
        <v>223464</v>
      </c>
    </row>
    <row r="122" spans="1:8">
      <c r="A122" s="8" t="str">
        <f ca="1">IFERROR(__xludf.DUMMYFUNCTION("""COMPUTED_VALUE"""),"AS-OMNI-F-CL-EDU")</f>
        <v>AS-OMNI-F-CL-EDU</v>
      </c>
      <c r="B122" s="8" t="str">
        <f ca="1">IFERROR(__xludf.DUMMYFUNCTION("""COMPUTED_VALUE"""),"Annual Plan AS-OMNI-F-CL-EDU")</f>
        <v>Annual Plan AS-OMNI-F-CL-EDU</v>
      </c>
      <c r="C122" s="9" t="str">
        <f ca="1">IFERROR(__xludf.DUMMYFUNCTION("""COMPUTED_VALUE"""),"Platform")</f>
        <v>Platform</v>
      </c>
      <c r="D122" s="8" t="str">
        <f ca="1">IFERROR(__xludf.DUMMYFUNCTION("""COMPUTED_VALUE"""),"Recurring")</f>
        <v>Recurring</v>
      </c>
      <c r="E122" s="9" t="str">
        <f ca="1">IFERROR(__xludf.DUMMYFUNCTION("""COMPUTED_VALUE"""),"Appspace Education Cloud Subscription. Appspace Cloud access to all Appspace platform features for 3,000 devices, Elite Support, 3,000 GB cloud storage, and 3,000 GB/month cloud bandwidth.")</f>
        <v>Appspace Education Cloud Subscription. Appspace Cloud access to all Appspace platform features for 3,000 devices, Elite Support, 3,000 GB cloud storage, and 3,000 GB/month cloud bandwidth.</v>
      </c>
      <c r="F122" s="10" t="str">
        <f ca="1">IFERROR(__xludf.DUMMYFUNCTION("""COMPUTED_VALUE"""),"GBP")</f>
        <v>GBP</v>
      </c>
      <c r="G122" s="8">
        <f ca="1">IFERROR(__xludf.DUMMYFUNCTION("""COMPUTED_VALUE"""),16761)</f>
        <v>16761</v>
      </c>
      <c r="H122" s="10">
        <f ca="1">IFERROR(__xludf.DUMMYFUNCTION("""COMPUTED_VALUE"""),201132)</f>
        <v>201132</v>
      </c>
    </row>
    <row r="123" spans="1:8">
      <c r="A123" s="8" t="str">
        <f ca="1">IFERROR(__xludf.DUMMYFUNCTION("""COMPUTED_VALUE"""),"AS-OMNI-F-OP")</f>
        <v>AS-OMNI-F-OP</v>
      </c>
      <c r="B123" s="8" t="str">
        <f ca="1">IFERROR(__xludf.DUMMYFUNCTION("""COMPUTED_VALUE"""),"Annual Plan AS-OMNI-F-OP")</f>
        <v>Annual Plan AS-OMNI-F-OP</v>
      </c>
      <c r="C123" s="9" t="str">
        <f ca="1">IFERROR(__xludf.DUMMYFUNCTION("""COMPUTED_VALUE"""),"Platform")</f>
        <v>Platform</v>
      </c>
      <c r="D123" s="8" t="str">
        <f ca="1">IFERROR(__xludf.DUMMYFUNCTION("""COMPUTED_VALUE"""),"Recurring")</f>
        <v>Recurring</v>
      </c>
      <c r="E123" s="9" t="str">
        <f ca="1">IFERROR(__xludf.DUMMYFUNCTION("""COMPUTED_VALUE"""),"Appspace On-Prem Subscription. Self-managed on-prem, cloud or hybrid access to all Appspace platform features for 3,000 devices, Elite Support, 3,000 GB cloud storage, and 3,000 GB/month cloud bandwidth.")</f>
        <v>Appspace On-Prem Subscription. Self-managed on-prem, cloud or hybrid access to all Appspace platform features for 3,000 devices, Elite Support, 3,000 GB cloud storage, and 3,000 GB/month cloud bandwidth.</v>
      </c>
      <c r="F123" s="8" t="str">
        <f ca="1">IFERROR(__xludf.DUMMYFUNCTION("""COMPUTED_VALUE"""),"GBP")</f>
        <v>GBP</v>
      </c>
      <c r="G123" s="8">
        <f ca="1">IFERROR(__xludf.DUMMYFUNCTION("""COMPUTED_VALUE"""),37244)</f>
        <v>37244</v>
      </c>
      <c r="H123" s="10">
        <f ca="1">IFERROR(__xludf.DUMMYFUNCTION("""COMPUTED_VALUE"""),446928)</f>
        <v>446928</v>
      </c>
    </row>
    <row r="124" spans="1:8">
      <c r="A124" s="8" t="str">
        <f ca="1">IFERROR(__xludf.DUMMYFUNCTION("""COMPUTED_VALUE"""),"AS-OMNI-F-PV")</f>
        <v>AS-OMNI-F-PV</v>
      </c>
      <c r="B124" s="8" t="str">
        <f ca="1">IFERROR(__xludf.DUMMYFUNCTION("""COMPUTED_VALUE"""),"Annual Plan AS-OMNI-F-PV")</f>
        <v>Annual Plan AS-OMNI-F-PV</v>
      </c>
      <c r="C124" s="9" t="str">
        <f ca="1">IFERROR(__xludf.DUMMYFUNCTION("""COMPUTED_VALUE"""),"Platform")</f>
        <v>Platform</v>
      </c>
      <c r="D124" s="8" t="str">
        <f ca="1">IFERROR(__xludf.DUMMYFUNCTION("""COMPUTED_VALUE"""),"Recurring")</f>
        <v>Recurring</v>
      </c>
      <c r="E124" s="9" t="str">
        <f ca="1">IFERROR(__xludf.DUMMYFUNCTION("""COMPUTED_VALUE"""),"Appspace Private Cloud Subscription. Appspace private cloud instance access to all Appspace platform features for 3,000 devices, Elite Support, 6,000 GB cloud storage, and 6,000 GB/month cloud bandwidth.")</f>
        <v>Appspace Private Cloud Subscription. Appspace private cloud instance access to all Appspace platform features for 3,000 devices, Elite Support, 6,000 GB cloud storage, and 6,000 GB/month cloud bandwidth.</v>
      </c>
      <c r="F124" s="8" t="str">
        <f ca="1">IFERROR(__xludf.DUMMYFUNCTION("""COMPUTED_VALUE"""),"GBP")</f>
        <v>GBP</v>
      </c>
      <c r="G124" s="8">
        <f ca="1">IFERROR(__xludf.DUMMYFUNCTION("""COMPUTED_VALUE"""),27933)</f>
        <v>27933</v>
      </c>
      <c r="H124" s="10">
        <f ca="1">IFERROR(__xludf.DUMMYFUNCTION("""COMPUTED_VALUE"""),335196)</f>
        <v>335196</v>
      </c>
    </row>
    <row r="125" spans="1:8">
      <c r="A125" s="8" t="str">
        <f ca="1">IFERROR(__xludf.DUMMYFUNCTION("""COMPUTED_VALUE"""),"AS-OMNI-F-PV-EDU")</f>
        <v>AS-OMNI-F-PV-EDU</v>
      </c>
      <c r="B125" s="8" t="str">
        <f ca="1">IFERROR(__xludf.DUMMYFUNCTION("""COMPUTED_VALUE"""),"Annual Plan AS-OMNI-F-PV-EDU")</f>
        <v>Annual Plan AS-OMNI-F-PV-EDU</v>
      </c>
      <c r="C125" s="9" t="str">
        <f ca="1">IFERROR(__xludf.DUMMYFUNCTION("""COMPUTED_VALUE"""),"Platform")</f>
        <v>Platform</v>
      </c>
      <c r="D125" s="8" t="str">
        <f ca="1">IFERROR(__xludf.DUMMYFUNCTION("""COMPUTED_VALUE"""),"Recurring")</f>
        <v>Recurring</v>
      </c>
      <c r="E125" s="9" t="str">
        <f ca="1">IFERROR(__xludf.DUMMYFUNCTION("""COMPUTED_VALUE"""),"Appspace Education Private Cloud Subscription. Appspace private cloud instance access to all Appspace platform features for 3,000 devices, Elite Support, 6,000 GB cloud storage, and 6,000 GB/month cloud bandwidth.")</f>
        <v>Appspace Education Private Cloud Subscription. Appspace private cloud instance access to all Appspace platform features for 3,000 devices, Elite Support, 6,000 GB cloud storage, and 6,000 GB/month cloud bandwidth.</v>
      </c>
      <c r="F125" s="8" t="str">
        <f ca="1">IFERROR(__xludf.DUMMYFUNCTION("""COMPUTED_VALUE"""),"GBP")</f>
        <v>GBP</v>
      </c>
      <c r="G125" s="8">
        <f ca="1">IFERROR(__xludf.DUMMYFUNCTION("""COMPUTED_VALUE"""),25142)</f>
        <v>25142</v>
      </c>
      <c r="H125" s="10">
        <f ca="1">IFERROR(__xludf.DUMMYFUNCTION("""COMPUTED_VALUE"""),301704)</f>
        <v>301704</v>
      </c>
    </row>
    <row r="126" spans="1:8">
      <c r="A126" s="8" t="str">
        <f ca="1">IFERROR(__xludf.DUMMYFUNCTION("""COMPUTED_VALUE"""),"AS-RP-1000")</f>
        <v>AS-RP-1000</v>
      </c>
      <c r="B126" s="8" t="str">
        <f ca="1">IFERROR(__xludf.DUMMYFUNCTION("""COMPUTED_VALUE"""),"Annual Plan AS-RP-1000")</f>
        <v>Annual Plan AS-RP-1000</v>
      </c>
      <c r="C126" s="9" t="str">
        <f ca="1">IFERROR(__xludf.DUMMYFUNCTION("""COMPUTED_VALUE"""),"Resource Pack")</f>
        <v>Resource Pack</v>
      </c>
      <c r="D126" s="8" t="str">
        <f ca="1">IFERROR(__xludf.DUMMYFUNCTION("""COMPUTED_VALUE"""),"Recurring")</f>
        <v>Recurring</v>
      </c>
      <c r="E126" s="9" t="str">
        <f ca="1">IFERROR(__xludf.DUMMYFUNCTION("""COMPUTED_VALUE"""),"Appspace Resource Pack. Adds an extra 1,000 GB per month of bandwidth and 1,000 GB of storage on top of any Omni subscription plan.")</f>
        <v>Appspace Resource Pack. Adds an extra 1,000 GB per month of bandwidth and 1,000 GB of storage on top of any Omni subscription plan.</v>
      </c>
      <c r="F126" s="8" t="str">
        <f ca="1">IFERROR(__xludf.DUMMYFUNCTION("""COMPUTED_VALUE"""),"GBP")</f>
        <v>GBP</v>
      </c>
      <c r="G126" s="8">
        <f ca="1">IFERROR(__xludf.DUMMYFUNCTION("""COMPUTED_VALUE"""),168)</f>
        <v>168</v>
      </c>
      <c r="H126" s="10">
        <f ca="1">IFERROR(__xludf.DUMMYFUNCTION("""COMPUTED_VALUE"""),2016)</f>
        <v>2016</v>
      </c>
    </row>
    <row r="127" spans="1:8">
      <c r="A127" s="8" t="str">
        <f ca="1">IFERROR(__xludf.DUMMYFUNCTION("""COMPUTED_VALUE"""),"AS-ST-GB")</f>
        <v>AS-ST-GB</v>
      </c>
      <c r="B127" s="8" t="str">
        <f ca="1">IFERROR(__xludf.DUMMYFUNCTION("""COMPUTED_VALUE"""),"Annual Plan AS-ST-GB")</f>
        <v>Annual Plan AS-ST-GB</v>
      </c>
      <c r="C127" s="9" t="str">
        <f ca="1">IFERROR(__xludf.DUMMYFUNCTION("""COMPUTED_VALUE"""),"Storage")</f>
        <v>Storage</v>
      </c>
      <c r="D127" s="8" t="str">
        <f ca="1">IFERROR(__xludf.DUMMYFUNCTION("""COMPUTED_VALUE"""),"Recurring")</f>
        <v>Recurring</v>
      </c>
      <c r="E127" s="9" t="str">
        <f ca="1">IFERROR(__xludf.DUMMYFUNCTION("""COMPUTED_VALUE"""),"Monthly storage allocation (1 GB/month)")</f>
        <v>Monthly storage allocation (1 GB/month)</v>
      </c>
      <c r="F127" s="8" t="str">
        <f ca="1">IFERROR(__xludf.DUMMYFUNCTION("""COMPUTED_VALUE"""),"GBP")</f>
        <v>GBP</v>
      </c>
      <c r="G127" s="8">
        <f ca="1">IFERROR(__xludf.DUMMYFUNCTION("""COMPUTED_VALUE"""),0.08)</f>
        <v>0.08</v>
      </c>
      <c r="H127" s="8">
        <f ca="1">IFERROR(__xludf.DUMMYFUNCTION("""COMPUTED_VALUE"""),0.96)</f>
        <v>0.96</v>
      </c>
    </row>
    <row r="128" spans="1:8">
      <c r="A128" s="8" t="str">
        <f ca="1">IFERROR(__xludf.DUMMYFUNCTION("""COMPUTED_VALUE"""),"AS-SVC-CC")</f>
        <v>AS-SVC-CC</v>
      </c>
      <c r="B128" s="8" t="str">
        <f ca="1">IFERROR(__xludf.DUMMYFUNCTION("""COMPUTED_VALUE"""),"Annual Plan AS-SVC-CC")</f>
        <v>Annual Plan AS-SVC-CC</v>
      </c>
      <c r="C128" s="9" t="str">
        <f ca="1">IFERROR(__xludf.DUMMYFUNCTION("""COMPUTED_VALUE"""),"Complete Care")</f>
        <v>Complete Care</v>
      </c>
      <c r="D128" s="8" t="str">
        <f ca="1">IFERROR(__xludf.DUMMYFUNCTION("""COMPUTED_VALUE"""),"Recurring")</f>
        <v>Recurring</v>
      </c>
      <c r="E128" s="9" t="str">
        <f ca="1">IFERROR(__xludf.DUMMYFUNCTION("""COMPUTED_VALUE"""),"Complete Care")</f>
        <v>Complete Care</v>
      </c>
      <c r="F128" s="8" t="str">
        <f ca="1">IFERROR(__xludf.DUMMYFUNCTION("""COMPUTED_VALUE"""),"GBP")</f>
        <v>GBP</v>
      </c>
      <c r="G128" s="8">
        <f ca="1">IFERROR(__xludf.DUMMYFUNCTION("""COMPUTED_VALUE"""),25.14)</f>
        <v>25.14</v>
      </c>
      <c r="H128" s="10">
        <f ca="1">IFERROR(__xludf.DUMMYFUNCTION("""COMPUTED_VALUE"""),301.68)</f>
        <v>301.68</v>
      </c>
    </row>
    <row r="129" spans="1:8">
      <c r="A129" s="8" t="str">
        <f ca="1">IFERROR(__xludf.DUMMYFUNCTION("""COMPUTED_VALUE"""),"AS-SVC-COM-ADVISORY")</f>
        <v>AS-SVC-COM-ADVISORY</v>
      </c>
      <c r="B129" s="8" t="str">
        <f ca="1">IFERROR(__xludf.DUMMYFUNCTION("""COMPUTED_VALUE"""),"Annual Plan AS-SVC-COM-ADVISORY")</f>
        <v>Annual Plan AS-SVC-COM-ADVISORY</v>
      </c>
      <c r="C129" s="9" t="str">
        <f ca="1">IFERROR(__xludf.DUMMYFUNCTION("""COMPUTED_VALUE"""),"Workplace Communications Advisory")</f>
        <v>Workplace Communications Advisory</v>
      </c>
      <c r="D129" s="8" t="str">
        <f ca="1">IFERROR(__xludf.DUMMYFUNCTION("""COMPUTED_VALUE"""),"Recurring")</f>
        <v>Recurring</v>
      </c>
      <c r="E129" s="9" t="str">
        <f ca="1">IFERROR(__xludf.DUMMYFUNCTION("""COMPUTED_VALUE"""),"Workplace Communications Advisory - Comprehensive communications strategy for your digital and physical workplaces. Ongoing strategic insights into platform usage, industry trends, and product development.")</f>
        <v>Workplace Communications Advisory - Comprehensive communications strategy for your digital and physical workplaces. Ongoing strategic insights into platform usage, industry trends, and product development.</v>
      </c>
      <c r="F129" s="8" t="str">
        <f ca="1">IFERROR(__xludf.DUMMYFUNCTION("""COMPUTED_VALUE"""),"GBP")</f>
        <v>GBP</v>
      </c>
      <c r="G129" s="8">
        <f ca="1">IFERROR(__xludf.DUMMYFUNCTION("""COMPUTED_VALUE"""),2095)</f>
        <v>2095</v>
      </c>
      <c r="H129" s="10">
        <f ca="1">IFERROR(__xludf.DUMMYFUNCTION("""COMPUTED_VALUE"""),25140)</f>
        <v>25140</v>
      </c>
    </row>
    <row r="130" spans="1:8">
      <c r="A130" s="8" t="str">
        <f ca="1">IFERROR(__xludf.DUMMYFUNCTION("""COMPUTED_VALUE"""),"AS-SVC-COM-QST-BASIC")</f>
        <v>AS-SVC-COM-QST-BASIC</v>
      </c>
      <c r="B130" s="8" t="str">
        <f ca="1">IFERROR(__xludf.DUMMYFUNCTION("""COMPUTED_VALUE"""),"AS-SVC-COM-QST-BASIC")</f>
        <v>AS-SVC-COM-QST-BASIC</v>
      </c>
      <c r="C130" s="9" t="str">
        <f ca="1">IFERROR(__xludf.DUMMYFUNCTION("""COMPUTED_VALUE"""),"Workplace Comms Quick Start Basic")</f>
        <v>Workplace Comms Quick Start Basic</v>
      </c>
      <c r="D130" s="8" t="str">
        <f ca="1">IFERROR(__xludf.DUMMYFUNCTION("""COMPUTED_VALUE"""),"One-Time")</f>
        <v>One-Time</v>
      </c>
      <c r="E130" s="9" t="str">
        <f ca="1">IFERROR(__xludf.DUMMYFUNCTION("""COMPUTED_VALUE"""),"Workplace Comms Quick Start Basic - Onboarding basics,onboarding coordinator for 2 months, Welcome session and documentation,configuration guide and review, Administrator and Content Publisher on-demand webinars.")</f>
        <v>Workplace Comms Quick Start Basic - Onboarding basics,onboarding coordinator for 2 months, Welcome session and documentation,configuration guide and review, Administrator and Content Publisher on-demand webinars.</v>
      </c>
      <c r="F130" s="8" t="str">
        <f ca="1">IFERROR(__xludf.DUMMYFUNCTION("""COMPUTED_VALUE"""),"GBP")</f>
        <v>GBP</v>
      </c>
      <c r="G130" s="8">
        <f ca="1">IFERROR(__xludf.DUMMYFUNCTION("""COMPUTED_VALUE"""),2095)</f>
        <v>2095</v>
      </c>
      <c r="H130" s="10">
        <f ca="1">IFERROR(__xludf.DUMMYFUNCTION("""COMPUTED_VALUE"""),2095)</f>
        <v>2095</v>
      </c>
    </row>
    <row r="131" spans="1:8">
      <c r="A131" s="8" t="str">
        <f ca="1">IFERROR(__xludf.DUMMYFUNCTION("""COMPUTED_VALUE"""),"AS-SVC-COM-QST-ELITE")</f>
        <v>AS-SVC-COM-QST-ELITE</v>
      </c>
      <c r="B131" s="8" t="str">
        <f ca="1">IFERROR(__xludf.DUMMYFUNCTION("""COMPUTED_VALUE"""),"AS-SVC-COM-QST-ELITE")</f>
        <v>AS-SVC-COM-QST-ELITE</v>
      </c>
      <c r="C131" s="9" t="str">
        <f ca="1">IFERROR(__xludf.DUMMYFUNCTION("""COMPUTED_VALUE"""),"Workplace Comms Quick Start Elite")</f>
        <v>Workplace Comms Quick Start Elite</v>
      </c>
      <c r="D131" s="8" t="str">
        <f ca="1">IFERROR(__xludf.DUMMYFUNCTION("""COMPUTED_VALUE"""),"One-Time")</f>
        <v>One-Time</v>
      </c>
      <c r="E131" s="9" t="str">
        <f ca="1">IFERROR(__xludf.DUMMYFUNCTION("""COMPUTED_VALUE"""),"Workplace Comms Quick Start Elite - Enterprise and and local Workplace Comms implementation. Strategy session, Global-to-Local Governance Plan Global-to-Local Employee App Configuration, Device App Configuration,16 branded card templates, Administrator an"&amp;"d Content Publisher training.")</f>
        <v>Workplace Comms Quick Start Elite - Enterprise and and local Workplace Comms implementation. Strategy session, Global-to-Local Governance Plan Global-to-Local Employee App Configuration, Device App Configuration,16 branded card templates, Administrator and Content Publisher training.</v>
      </c>
      <c r="F131" s="8" t="str">
        <f ca="1">IFERROR(__xludf.DUMMYFUNCTION("""COMPUTED_VALUE"""),"GBP")</f>
        <v>GBP</v>
      </c>
      <c r="G131" s="8">
        <f ca="1">IFERROR(__xludf.DUMMYFUNCTION("""COMPUTED_VALUE"""),25142)</f>
        <v>25142</v>
      </c>
      <c r="H131" s="10">
        <f ca="1">IFERROR(__xludf.DUMMYFUNCTION("""COMPUTED_VALUE"""),25142)</f>
        <v>25142</v>
      </c>
    </row>
    <row r="132" spans="1:8">
      <c r="A132" s="8" t="str">
        <f ca="1">IFERROR(__xludf.DUMMYFUNCTION("""COMPUTED_VALUE"""),"AS-SVC-COM-QST-PREMIUM")</f>
        <v>AS-SVC-COM-QST-PREMIUM</v>
      </c>
      <c r="B132" s="8" t="str">
        <f ca="1">IFERROR(__xludf.DUMMYFUNCTION("""COMPUTED_VALUE"""),"AS-SVC-COM-QST-PREMIUM")</f>
        <v>AS-SVC-COM-QST-PREMIUM</v>
      </c>
      <c r="C132" s="9" t="str">
        <f ca="1">IFERROR(__xludf.DUMMYFUNCTION("""COMPUTED_VALUE"""),"Workplace Comms Quick Start Premium")</f>
        <v>Workplace Comms Quick Start Premium</v>
      </c>
      <c r="D132" s="8" t="str">
        <f ca="1">IFERROR(__xludf.DUMMYFUNCTION("""COMPUTED_VALUE"""),"One-Time")</f>
        <v>One-Time</v>
      </c>
      <c r="E132" s="9" t="str">
        <f ca="1">IFERROR(__xludf.DUMMYFUNCTION("""COMPUTED_VALUE"""),"Workplace Comms Quick Start Premium - Enterprise-level Workplace Communications implementation. Strategy session, Employee App theming and configuration, platform configuration, 16 branded card templates, Administrator and Content Publisher training.")</f>
        <v>Workplace Comms Quick Start Premium - Enterprise-level Workplace Communications implementation. Strategy session, Employee App theming and configuration, platform configuration, 16 branded card templates, Administrator and Content Publisher training.</v>
      </c>
      <c r="F132" s="8" t="str">
        <f ca="1">IFERROR(__xludf.DUMMYFUNCTION("""COMPUTED_VALUE"""),"GBP")</f>
        <v>GBP</v>
      </c>
      <c r="G132" s="8">
        <f ca="1">IFERROR(__xludf.DUMMYFUNCTION("""COMPUTED_VALUE"""),12571)</f>
        <v>12571</v>
      </c>
      <c r="H132" s="10">
        <f ca="1">IFERROR(__xludf.DUMMYFUNCTION("""COMPUTED_VALUE"""),12571)</f>
        <v>12571</v>
      </c>
    </row>
    <row r="133" spans="1:8">
      <c r="A133" s="8" t="str">
        <f ca="1">IFERROR(__xludf.DUMMYFUNCTION("""COMPUTED_VALUE"""),"AS-SVC-COM-REFRESH")</f>
        <v>AS-SVC-COM-REFRESH</v>
      </c>
      <c r="B133" s="8" t="str">
        <f ca="1">IFERROR(__xludf.DUMMYFUNCTION("""COMPUTED_VALUE"""),"AS-SVC-COM-REFRESH")</f>
        <v>AS-SVC-COM-REFRESH</v>
      </c>
      <c r="C133" s="9" t="str">
        <f ca="1">IFERROR(__xludf.DUMMYFUNCTION("""COMPUTED_VALUE"""),"Workplace Comms Refresh")</f>
        <v>Workplace Comms Refresh</v>
      </c>
      <c r="D133" s="8" t="str">
        <f ca="1">IFERROR(__xludf.DUMMYFUNCTION("""COMPUTED_VALUE"""),"One-Time")</f>
        <v>One-Time</v>
      </c>
      <c r="E133" s="9" t="str">
        <f ca="1">IFERROR(__xludf.DUMMYFUNCTION("""COMPUTED_VALUE"""),"Workplace Comms Refresh -  Appspace Digital Signage and/or Employee App comms and analytics review; library, channels, groups cleanup; documented best practices, workflow review session.")</f>
        <v>Workplace Comms Refresh -  Appspace Digital Signage and/or Employee App comms and analytics review; library, channels, groups cleanup; documented best practices, workflow review session.</v>
      </c>
      <c r="F133" s="8" t="str">
        <f ca="1">IFERROR(__xludf.DUMMYFUNCTION("""COMPUTED_VALUE"""),"GBP")</f>
        <v>GBP</v>
      </c>
      <c r="G133" s="8">
        <f ca="1">IFERROR(__xludf.DUMMYFUNCTION("""COMPUTED_VALUE"""),12571)</f>
        <v>12571</v>
      </c>
      <c r="H133" s="10">
        <f ca="1">IFERROR(__xludf.DUMMYFUNCTION("""COMPUTED_VALUE"""),12571)</f>
        <v>12571</v>
      </c>
    </row>
    <row r="134" spans="1:8">
      <c r="A134" s="8" t="str">
        <f ca="1">IFERROR(__xludf.DUMMYFUNCTION("""COMPUTED_VALUE"""),"AS-SVC-COM-REVIEW")</f>
        <v>AS-SVC-COM-REVIEW</v>
      </c>
      <c r="B134" s="8" t="str">
        <f ca="1">IFERROR(__xludf.DUMMYFUNCTION("""COMPUTED_VALUE"""),"AS-SVC-COM-REVIEW")</f>
        <v>AS-SVC-COM-REVIEW</v>
      </c>
      <c r="C134" s="9" t="str">
        <f ca="1">IFERROR(__xludf.DUMMYFUNCTION("""COMPUTED_VALUE"""),"Workplace Comms Review")</f>
        <v>Workplace Comms Review</v>
      </c>
      <c r="D134" s="8" t="str">
        <f ca="1">IFERROR(__xludf.DUMMYFUNCTION("""COMPUTED_VALUE"""),"One-Time")</f>
        <v>One-Time</v>
      </c>
      <c r="E134" s="9" t="str">
        <f ca="1">IFERROR(__xludf.DUMMYFUNCTION("""COMPUTED_VALUE"""),"Workplace Comms Review - Appspace Digital Signage and/or Employee App communications and analytics review, documented findings and recommendations, collaborative findings review session.")</f>
        <v>Workplace Comms Review - Appspace Digital Signage and/or Employee App communications and analytics review, documented findings and recommendations, collaborative findings review session.</v>
      </c>
      <c r="F134" s="8" t="str">
        <f ca="1">IFERROR(__xludf.DUMMYFUNCTION("""COMPUTED_VALUE"""),"GBP")</f>
        <v>GBP</v>
      </c>
      <c r="G134" s="8">
        <f ca="1">IFERROR(__xludf.DUMMYFUNCTION("""COMPUTED_VALUE"""),6285)</f>
        <v>6285</v>
      </c>
      <c r="H134" s="10">
        <f ca="1">IFERROR(__xludf.DUMMYFUNCTION("""COMPUTED_VALUE"""),6285)</f>
        <v>6285</v>
      </c>
    </row>
    <row r="135" spans="1:8">
      <c r="A135" s="8" t="str">
        <f ca="1">IFERROR(__xludf.DUMMYFUNCTION("""COMPUTED_VALUE"""),"AS-SVC-COM-TEMPLATES")</f>
        <v>AS-SVC-COM-TEMPLATES</v>
      </c>
      <c r="B135" s="8" t="str">
        <f ca="1">IFERROR(__xludf.DUMMYFUNCTION("""COMPUTED_VALUE"""),"AS-SVC-COM-TEMPLATES")</f>
        <v>AS-SVC-COM-TEMPLATES</v>
      </c>
      <c r="C135" s="9" t="str">
        <f ca="1">IFERROR(__xludf.DUMMYFUNCTION("""COMPUTED_VALUE"""),"Workplace Comms Branded Templates")</f>
        <v>Workplace Comms Branded Templates</v>
      </c>
      <c r="D135" s="8" t="str">
        <f ca="1">IFERROR(__xludf.DUMMYFUNCTION("""COMPUTED_VALUE"""),"One-Time")</f>
        <v>One-Time</v>
      </c>
      <c r="E135" s="9" t="str">
        <f ca="1">IFERROR(__xludf.DUMMYFUNCTION("""COMPUTED_VALUE"""),"Workplace Comms Branded Templates - Sixteen communication templates for your most common use cases, branded with your logo, fonts, and colors.")</f>
        <v>Workplace Comms Branded Templates - Sixteen communication templates for your most common use cases, branded with your logo, fonts, and colors.</v>
      </c>
      <c r="F135" s="8" t="str">
        <f ca="1">IFERROR(__xludf.DUMMYFUNCTION("""COMPUTED_VALUE"""),"GBP")</f>
        <v>GBP</v>
      </c>
      <c r="G135" s="8">
        <f ca="1">IFERROR(__xludf.DUMMYFUNCTION("""COMPUTED_VALUE"""),6705)</f>
        <v>6705</v>
      </c>
      <c r="H135" s="10">
        <f ca="1">IFERROR(__xludf.DUMMYFUNCTION("""COMPUTED_VALUE"""),6705)</f>
        <v>6705</v>
      </c>
    </row>
    <row r="136" spans="1:8">
      <c r="A136" s="8" t="str">
        <f ca="1">IFERROR(__xludf.DUMMYFUNCTION("""COMPUTED_VALUE"""),"AS-SVC-CSM")</f>
        <v>AS-SVC-CSM</v>
      </c>
      <c r="B136" s="8" t="str">
        <f ca="1">IFERROR(__xludf.DUMMYFUNCTION("""COMPUTED_VALUE"""),"Annual Plan AS-SVC-CSM")</f>
        <v>Annual Plan AS-SVC-CSM</v>
      </c>
      <c r="C136" s="9" t="str">
        <f ca="1">IFERROR(__xludf.DUMMYFUNCTION("""COMPUTED_VALUE"""),"Customer Success Manager")</f>
        <v>Customer Success Manager</v>
      </c>
      <c r="D136" s="8" t="str">
        <f ca="1">IFERROR(__xludf.DUMMYFUNCTION("""COMPUTED_VALUE"""),"Recurring")</f>
        <v>Recurring</v>
      </c>
      <c r="E136" s="9" t="str">
        <f ca="1">IFERROR(__xludf.DUMMYFUNCTION("""COMPUTED_VALUE"""),"Appspace Customer Success Manager - An Appspace Customer Success Manager is assigned to your account to assist you with getting the most out of your Appspace subscription.")</f>
        <v>Appspace Customer Success Manager - An Appspace Customer Success Manager is assigned to your account to assist you with getting the most out of your Appspace subscription.</v>
      </c>
      <c r="F136" s="8" t="str">
        <f ca="1">IFERROR(__xludf.DUMMYFUNCTION("""COMPUTED_VALUE"""),"GBP")</f>
        <v>GBP</v>
      </c>
      <c r="G136" s="8">
        <f ca="1">IFERROR(__xludf.DUMMYFUNCTION("""COMPUTED_VALUE"""),1257)</f>
        <v>1257</v>
      </c>
      <c r="H136" s="10">
        <f ca="1">IFERROR(__xludf.DUMMYFUNCTION("""COMPUTED_VALUE"""),15084)</f>
        <v>15084</v>
      </c>
    </row>
    <row r="137" spans="1:8">
      <c r="A137" s="8" t="str">
        <f ca="1">IFERROR(__xludf.DUMMYFUNCTION("""COMPUTED_VALUE"""),"AS-SVC-INT-MS-BASIC")</f>
        <v>AS-SVC-INT-MS-BASIC</v>
      </c>
      <c r="B137" s="8" t="str">
        <f ca="1">IFERROR(__xludf.DUMMYFUNCTION("""COMPUTED_VALUE"""),"Annual Plan AS-SVC-INT-MS-BASIC")</f>
        <v>Annual Plan AS-SVC-INT-MS-BASIC</v>
      </c>
      <c r="C137" s="9" t="str">
        <f ca="1">IFERROR(__xludf.DUMMYFUNCTION("""COMPUTED_VALUE"""),"Managed Services Intranet - Basic")</f>
        <v>Managed Services Intranet - Basic</v>
      </c>
      <c r="D137" s="8" t="str">
        <f ca="1">IFERROR(__xludf.DUMMYFUNCTION("""COMPUTED_VALUE"""),"Recurring")</f>
        <v>Recurring</v>
      </c>
      <c r="E137" s="9" t="str">
        <f ca="1">IFERROR(__xludf.DUMMYFUNCTION("""COMPUTED_VALUE"""),"Intranet Platform Managed Services - Ongoing Intranet support including project management, analytics reporting and advisory, new user support. Up to 12 hours per month")</f>
        <v>Intranet Platform Managed Services - Ongoing Intranet support including project management, analytics reporting and advisory, new user support. Up to 12 hours per month</v>
      </c>
      <c r="F137" s="8" t="str">
        <f ca="1">IFERROR(__xludf.DUMMYFUNCTION("""COMPUTED_VALUE"""),"GBP")</f>
        <v>GBP</v>
      </c>
      <c r="G137" s="8">
        <f ca="1">IFERROR(__xludf.DUMMYFUNCTION("""COMPUTED_VALUE"""),2514)</f>
        <v>2514</v>
      </c>
      <c r="H137" s="10">
        <f ca="1">IFERROR(__xludf.DUMMYFUNCTION("""COMPUTED_VALUE"""),30168)</f>
        <v>30168</v>
      </c>
    </row>
    <row r="138" spans="1:8">
      <c r="A138" s="8" t="str">
        <f ca="1">IFERROR(__xludf.DUMMYFUNCTION("""COMPUTED_VALUE"""),"AS-SVC-INT-MS-BRANDING")</f>
        <v>AS-SVC-INT-MS-BRANDING</v>
      </c>
      <c r="B138" s="8" t="str">
        <f ca="1">IFERROR(__xludf.DUMMYFUNCTION("""COMPUTED_VALUE"""),"AS-SVC-INT-MS-BRANDING")</f>
        <v>AS-SVC-INT-MS-BRANDING</v>
      </c>
      <c r="C138" s="9" t="str">
        <f ca="1">IFERROR(__xludf.DUMMYFUNCTION("""COMPUTED_VALUE"""),"Intranet Branding Managed Services")</f>
        <v>Intranet Branding Managed Services</v>
      </c>
      <c r="D138" s="8" t="str">
        <f ca="1">IFERROR(__xludf.DUMMYFUNCTION("""COMPUTED_VALUE"""),"Recurring")</f>
        <v>Recurring</v>
      </c>
      <c r="E138" s="9" t="str">
        <f ca="1">IFERROR(__xludf.DUMMYFUNCTION("""COMPUTED_VALUE"""),"Intranet Branding Services - Custom branding of Intranet local and global entities, set up and maintenance of the customizations. Includes 4 updates of branding packages a year.")</f>
        <v>Intranet Branding Services - Custom branding of Intranet local and global entities, set up and maintenance of the customizations. Includes 4 updates of branding packages a year.</v>
      </c>
      <c r="F138" s="8" t="str">
        <f ca="1">IFERROR(__xludf.DUMMYFUNCTION("""COMPUTED_VALUE"""),"GBP")</f>
        <v>GBP</v>
      </c>
      <c r="G138" s="8">
        <f ca="1">IFERROR(__xludf.DUMMYFUNCTION("""COMPUTED_VALUE"""),922)</f>
        <v>922</v>
      </c>
      <c r="H138" s="10">
        <f ca="1">IFERROR(__xludf.DUMMYFUNCTION("""COMPUTED_VALUE"""),11064)</f>
        <v>11064</v>
      </c>
    </row>
    <row r="139" spans="1:8">
      <c r="A139" s="8" t="str">
        <f ca="1">IFERROR(__xludf.DUMMYFUNCTION("""COMPUTED_VALUE"""),"AS-SVC-INT-MS-ELITE")</f>
        <v>AS-SVC-INT-MS-ELITE</v>
      </c>
      <c r="B139" s="8" t="str">
        <f ca="1">IFERROR(__xludf.DUMMYFUNCTION("""COMPUTED_VALUE"""),"Annual Plan AS-SVC-INT-MS-ELITE")</f>
        <v>Annual Plan AS-SVC-INT-MS-ELITE</v>
      </c>
      <c r="C139" s="9" t="str">
        <f ca="1">IFERROR(__xludf.DUMMYFUNCTION("""COMPUTED_VALUE"""),"Managed Services Intranet - Elite")</f>
        <v>Managed Services Intranet - Elite</v>
      </c>
      <c r="D139" s="8" t="str">
        <f ca="1">IFERROR(__xludf.DUMMYFUNCTION("""COMPUTED_VALUE"""),"Recurring")</f>
        <v>Recurring</v>
      </c>
      <c r="E139" s="9" t="str">
        <f ca="1">IFERROR(__xludf.DUMMYFUNCTION("""COMPUTED_VALUE"""),"Intranet Platform Managed Services - Ongoing Intranet support including project management, analytics reporting and advisory, new user support. 32+hours per month. Additional scoping may be required.")</f>
        <v>Intranet Platform Managed Services - Ongoing Intranet support including project management, analytics reporting and advisory, new user support. 32+hours per month. Additional scoping may be required.</v>
      </c>
      <c r="F139" s="8" t="str">
        <f ca="1">IFERROR(__xludf.DUMMYFUNCTION("""COMPUTED_VALUE"""),"GBP")</f>
        <v>GBP</v>
      </c>
      <c r="G139" s="8">
        <f ca="1">IFERROR(__xludf.DUMMYFUNCTION("""COMPUTED_VALUE"""),6285)</f>
        <v>6285</v>
      </c>
      <c r="H139" s="10">
        <f ca="1">IFERROR(__xludf.DUMMYFUNCTION("""COMPUTED_VALUE"""),75420)</f>
        <v>75420</v>
      </c>
    </row>
    <row r="140" spans="1:8">
      <c r="A140" s="8" t="str">
        <f ca="1">IFERROR(__xludf.DUMMYFUNCTION("""COMPUTED_VALUE"""),"AS-SVC-INT-MS-PREMIUM")</f>
        <v>AS-SVC-INT-MS-PREMIUM</v>
      </c>
      <c r="B140" s="8" t="str">
        <f ca="1">IFERROR(__xludf.DUMMYFUNCTION("""COMPUTED_VALUE"""),"Annual Plan AS-SVC-INT-MS-PREMIUM")</f>
        <v>Annual Plan AS-SVC-INT-MS-PREMIUM</v>
      </c>
      <c r="C140" s="9" t="str">
        <f ca="1">IFERROR(__xludf.DUMMYFUNCTION("""COMPUTED_VALUE"""),"Managed Services Intranet - Premium")</f>
        <v>Managed Services Intranet - Premium</v>
      </c>
      <c r="D140" s="8" t="str">
        <f ca="1">IFERROR(__xludf.DUMMYFUNCTION("""COMPUTED_VALUE"""),"Recurring")</f>
        <v>Recurring</v>
      </c>
      <c r="E140" s="9" t="str">
        <f ca="1">IFERROR(__xludf.DUMMYFUNCTION("""COMPUTED_VALUE"""),"Intranet Platform Managed Services - Ongoing Intranet support including project management, analytics reporting and advisory, new user support. Up to 24 hours per month")</f>
        <v>Intranet Platform Managed Services - Ongoing Intranet support including project management, analytics reporting and advisory, new user support. Up to 24 hours per month</v>
      </c>
      <c r="F140" s="8" t="str">
        <f ca="1">IFERROR(__xludf.DUMMYFUNCTION("""COMPUTED_VALUE"""),"GBP")</f>
        <v>GBP</v>
      </c>
      <c r="G140" s="8">
        <f ca="1">IFERROR(__xludf.DUMMYFUNCTION("""COMPUTED_VALUE"""),5028)</f>
        <v>5028</v>
      </c>
      <c r="H140" s="10">
        <f ca="1">IFERROR(__xludf.DUMMYFUNCTION("""COMPUTED_VALUE"""),60336)</f>
        <v>60336</v>
      </c>
    </row>
    <row r="141" spans="1:8">
      <c r="A141" s="8" t="str">
        <f ca="1">IFERROR(__xludf.DUMMYFUNCTION("""COMPUTED_VALUE"""),"AS-SVC-MAPS-FLU")</f>
        <v>AS-SVC-MAPS-FLU</v>
      </c>
      <c r="B141" s="8" t="str">
        <f ca="1">IFERROR(__xludf.DUMMYFUNCTION("""COMPUTED_VALUE"""),"AS-SVC-MAPS-FLU")</f>
        <v>AS-SVC-MAPS-FLU</v>
      </c>
      <c r="C141" s="9" t="str">
        <f ca="1">IFERROR(__xludf.DUMMYFUNCTION("""COMPUTED_VALUE"""),"Space Reservation Floor Update")</f>
        <v>Space Reservation Floor Update</v>
      </c>
      <c r="D141" s="8" t="str">
        <f ca="1">IFERROR(__xludf.DUMMYFUNCTION("""COMPUTED_VALUE"""),"One-Time")</f>
        <v>One-Time</v>
      </c>
      <c r="E141" s="9" t="str">
        <f ca="1">IFERROR(__xludf.DUMMYFUNCTION("""COMPUTED_VALUE"""),"Appspace Space Reservation Floor Update - Update of Appspace-created 2D mapped floor plan.")</f>
        <v>Appspace Space Reservation Floor Update - Update of Appspace-created 2D mapped floor plan.</v>
      </c>
      <c r="F141" s="8" t="str">
        <f ca="1">IFERROR(__xludf.DUMMYFUNCTION("""COMPUTED_VALUE"""),"GBP")</f>
        <v>GBP</v>
      </c>
      <c r="G141" s="8">
        <f ca="1">IFERROR(__xludf.DUMMYFUNCTION("""COMPUTED_VALUE"""),210)</f>
        <v>210</v>
      </c>
      <c r="H141" s="10">
        <f ca="1">IFERROR(__xludf.DUMMYFUNCTION("""COMPUTED_VALUE"""),210)</f>
        <v>210</v>
      </c>
    </row>
    <row r="142" spans="1:8">
      <c r="A142" s="8" t="str">
        <f ca="1">IFERROR(__xludf.DUMMYFUNCTION("""COMPUTED_VALUE"""),"AS-SVC-MS-ADVANCED")</f>
        <v>AS-SVC-MS-ADVANCED</v>
      </c>
      <c r="B142" s="8" t="str">
        <f ca="1">IFERROR(__xludf.DUMMYFUNCTION("""COMPUTED_VALUE"""),"Annual Plan AS-SVC-MS-ADVANCED")</f>
        <v>Annual Plan AS-SVC-MS-ADVANCED</v>
      </c>
      <c r="C142" s="9" t="str">
        <f ca="1">IFERROR(__xludf.DUMMYFUNCTION("""COMPUTED_VALUE"""),"Managed Services - Advanced")</f>
        <v>Managed Services - Advanced</v>
      </c>
      <c r="D142" s="8" t="str">
        <f ca="1">IFERROR(__xludf.DUMMYFUNCTION("""COMPUTED_VALUE"""),"Recurring")</f>
        <v>Recurring</v>
      </c>
      <c r="E142" s="9" t="str">
        <f ca="1">IFERROR(__xludf.DUMMYFUNCTION("""COMPUTED_VALUE"""),"Managed Services Advanced - Ongoing platform assistance, up to 12 hours per month")</f>
        <v>Managed Services Advanced - Ongoing platform assistance, up to 12 hours per month</v>
      </c>
      <c r="F142" s="8" t="str">
        <f ca="1">IFERROR(__xludf.DUMMYFUNCTION("""COMPUTED_VALUE"""),"GBP")</f>
        <v>GBP</v>
      </c>
      <c r="G142" s="8">
        <f ca="1">IFERROR(__xludf.DUMMYFUNCTION("""COMPUTED_VALUE"""),2514)</f>
        <v>2514</v>
      </c>
      <c r="H142" s="10">
        <f ca="1">IFERROR(__xludf.DUMMYFUNCTION("""COMPUTED_VALUE"""),30168)</f>
        <v>30168</v>
      </c>
    </row>
    <row r="143" spans="1:8">
      <c r="A143" s="8" t="str">
        <f ca="1">IFERROR(__xludf.DUMMYFUNCTION("""COMPUTED_VALUE"""),"AS-SVC-MS-BASIC")</f>
        <v>AS-SVC-MS-BASIC</v>
      </c>
      <c r="B143" s="8" t="str">
        <f ca="1">IFERROR(__xludf.DUMMYFUNCTION("""COMPUTED_VALUE"""),"Annual Plan AS-SVC-MS-BASIC")</f>
        <v>Annual Plan AS-SVC-MS-BASIC</v>
      </c>
      <c r="C143" s="9" t="str">
        <f ca="1">IFERROR(__xludf.DUMMYFUNCTION("""COMPUTED_VALUE"""),"Managed Services - Basic")</f>
        <v>Managed Services - Basic</v>
      </c>
      <c r="D143" s="8" t="str">
        <f ca="1">IFERROR(__xludf.DUMMYFUNCTION("""COMPUTED_VALUE"""),"Recurring")</f>
        <v>Recurring</v>
      </c>
      <c r="E143" s="9" t="str">
        <f ca="1">IFERROR(__xludf.DUMMYFUNCTION("""COMPUTED_VALUE"""),"Managed Services Basic - Ongoing platform assistance, up to 6 hours per month")</f>
        <v>Managed Services Basic - Ongoing platform assistance, up to 6 hours per month</v>
      </c>
      <c r="F143" s="8" t="str">
        <f ca="1">IFERROR(__xludf.DUMMYFUNCTION("""COMPUTED_VALUE"""),"GBP")</f>
        <v>GBP</v>
      </c>
      <c r="G143" s="8">
        <f ca="1">IFERROR(__xludf.DUMMYFUNCTION("""COMPUTED_VALUE"""),1257)</f>
        <v>1257</v>
      </c>
      <c r="H143" s="10">
        <f ca="1">IFERROR(__xludf.DUMMYFUNCTION("""COMPUTED_VALUE"""),15084)</f>
        <v>15084</v>
      </c>
    </row>
    <row r="144" spans="1:8">
      <c r="A144" s="8" t="str">
        <f ca="1">IFERROR(__xludf.DUMMYFUNCTION("""COMPUTED_VALUE"""),"AS-SVC-MS-PREMIUM")</f>
        <v>AS-SVC-MS-PREMIUM</v>
      </c>
      <c r="B144" s="8" t="str">
        <f ca="1">IFERROR(__xludf.DUMMYFUNCTION("""COMPUTED_VALUE"""),"Annual Plan AS-SVC-MS-PREMIUM")</f>
        <v>Annual Plan AS-SVC-MS-PREMIUM</v>
      </c>
      <c r="C144" s="9" t="str">
        <f ca="1">IFERROR(__xludf.DUMMYFUNCTION("""COMPUTED_VALUE"""),"Managed Services - Premium")</f>
        <v>Managed Services - Premium</v>
      </c>
      <c r="D144" s="8" t="str">
        <f ca="1">IFERROR(__xludf.DUMMYFUNCTION("""COMPUTED_VALUE"""),"Recurring")</f>
        <v>Recurring</v>
      </c>
      <c r="E144" s="9" t="str">
        <f ca="1">IFERROR(__xludf.DUMMYFUNCTION("""COMPUTED_VALUE"""),"Managed Services Premium - Ongoing platform assistance, up to 24 hours per month")</f>
        <v>Managed Services Premium - Ongoing platform assistance, up to 24 hours per month</v>
      </c>
      <c r="F144" s="8" t="str">
        <f ca="1">IFERROR(__xludf.DUMMYFUNCTION("""COMPUTED_VALUE"""),"GBP")</f>
        <v>GBP</v>
      </c>
      <c r="G144" s="8">
        <f ca="1">IFERROR(__xludf.DUMMYFUNCTION("""COMPUTED_VALUE"""),5028)</f>
        <v>5028</v>
      </c>
      <c r="H144" s="10">
        <f ca="1">IFERROR(__xludf.DUMMYFUNCTION("""COMPUTED_VALUE"""),60336)</f>
        <v>60336</v>
      </c>
    </row>
    <row r="145" spans="1:8">
      <c r="A145" s="8" t="str">
        <f ca="1">IFERROR(__xludf.DUMMYFUNCTION("""COMPUTED_VALUE"""),"AS-SVC-OP-CM")</f>
        <v>AS-SVC-OP-CM</v>
      </c>
      <c r="B145" s="8" t="str">
        <f ca="1">IFERROR(__xludf.DUMMYFUNCTION("""COMPUTED_VALUE"""),"AS-SVC-OP-CM - Large")</f>
        <v>AS-SVC-OP-CM - Large</v>
      </c>
      <c r="C145" s="9" t="str">
        <f ca="1">IFERROR(__xludf.DUMMYFUNCTION("""COMPUTED_VALUE"""),"On-Prem to Cloud Migration - Large")</f>
        <v>On-Prem to Cloud Migration - Large</v>
      </c>
      <c r="D145" s="8" t="str">
        <f ca="1">IFERROR(__xludf.DUMMYFUNCTION("""COMPUTED_VALUE"""),"One-Time")</f>
        <v>One-Time</v>
      </c>
      <c r="E145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5" s="8" t="str">
        <f ca="1">IFERROR(__xludf.DUMMYFUNCTION("""COMPUTED_VALUE"""),"GBP")</f>
        <v>GBP</v>
      </c>
      <c r="G145" s="8">
        <f ca="1">IFERROR(__xludf.DUMMYFUNCTION("""COMPUTED_VALUE"""),16761)</f>
        <v>16761</v>
      </c>
      <c r="H145" s="10">
        <f ca="1">IFERROR(__xludf.DUMMYFUNCTION("""COMPUTED_VALUE"""),16761)</f>
        <v>16761</v>
      </c>
    </row>
    <row r="146" spans="1:8">
      <c r="A146" s="8" t="str">
        <f ca="1">IFERROR(__xludf.DUMMYFUNCTION("""COMPUTED_VALUE"""),"AS-SVC-OP-CM")</f>
        <v>AS-SVC-OP-CM</v>
      </c>
      <c r="B146" s="8" t="str">
        <f ca="1">IFERROR(__xludf.DUMMYFUNCTION("""COMPUTED_VALUE"""),"AS-SVC-OP-CM - Medium")</f>
        <v>AS-SVC-OP-CM - Medium</v>
      </c>
      <c r="C146" s="9" t="str">
        <f ca="1">IFERROR(__xludf.DUMMYFUNCTION("""COMPUTED_VALUE"""),"On-Prem to Cloud Migration - Medium")</f>
        <v>On-Prem to Cloud Migration - Medium</v>
      </c>
      <c r="D146" s="8" t="str">
        <f ca="1">IFERROR(__xludf.DUMMYFUNCTION("""COMPUTED_VALUE"""),"One-Time")</f>
        <v>One-Time</v>
      </c>
      <c r="E146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6" s="8" t="str">
        <f ca="1">IFERROR(__xludf.DUMMYFUNCTION("""COMPUTED_VALUE"""),"GBP")</f>
        <v>GBP</v>
      </c>
      <c r="G146" s="8">
        <f ca="1">IFERROR(__xludf.DUMMYFUNCTION("""COMPUTED_VALUE"""),8381)</f>
        <v>8381</v>
      </c>
      <c r="H146" s="10">
        <f ca="1">IFERROR(__xludf.DUMMYFUNCTION("""COMPUTED_VALUE"""),8381)</f>
        <v>8381</v>
      </c>
    </row>
    <row r="147" spans="1:8">
      <c r="A147" s="8" t="str">
        <f ca="1">IFERROR(__xludf.DUMMYFUNCTION("""COMPUTED_VALUE"""),"AS-SVC-OP-CM")</f>
        <v>AS-SVC-OP-CM</v>
      </c>
      <c r="B147" s="8" t="str">
        <f ca="1">IFERROR(__xludf.DUMMYFUNCTION("""COMPUTED_VALUE"""),"AS-SVC-OP-CM - Small")</f>
        <v>AS-SVC-OP-CM - Small</v>
      </c>
      <c r="C147" s="9" t="str">
        <f ca="1">IFERROR(__xludf.DUMMYFUNCTION("""COMPUTED_VALUE"""),"On-Prem to Cloud Migration - Small")</f>
        <v>On-Prem to Cloud Migration - Small</v>
      </c>
      <c r="D147" s="8" t="str">
        <f ca="1">IFERROR(__xludf.DUMMYFUNCTION("""COMPUTED_VALUE"""),"One-Time")</f>
        <v>One-Time</v>
      </c>
      <c r="E147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7" s="8" t="str">
        <f ca="1">IFERROR(__xludf.DUMMYFUNCTION("""COMPUTED_VALUE"""),"GBP")</f>
        <v>GBP</v>
      </c>
      <c r="G147" s="8">
        <f ca="1">IFERROR(__xludf.DUMMYFUNCTION("""COMPUTED_VALUE"""),4190)</f>
        <v>4190</v>
      </c>
      <c r="H147" s="10">
        <f ca="1">IFERROR(__xludf.DUMMYFUNCTION("""COMPUTED_VALUE"""),4190)</f>
        <v>4190</v>
      </c>
    </row>
    <row r="148" spans="1:8">
      <c r="A148" s="8" t="str">
        <f ca="1">IFERROR(__xludf.DUMMYFUNCTION("""COMPUTED_VALUE"""),"AS-SVC-OP-UPG")</f>
        <v>AS-SVC-OP-UPG</v>
      </c>
      <c r="B148" s="8" t="str">
        <f ca="1">IFERROR(__xludf.DUMMYFUNCTION("""COMPUTED_VALUE"""),"AS-SVC-OP-UPG - Small")</f>
        <v>AS-SVC-OP-UPG - Small</v>
      </c>
      <c r="C148" s="9" t="str">
        <f ca="1">IFERROR(__xludf.DUMMYFUNCTION("""COMPUTED_VALUE"""),"On-Prem Upgrade Services - Small")</f>
        <v>On-Prem Upgrade Services - Small</v>
      </c>
      <c r="D148" s="8" t="str">
        <f ca="1">IFERROR(__xludf.DUMMYFUNCTION("""COMPUTED_VALUE"""),"One-Time")</f>
        <v>One-Time</v>
      </c>
      <c r="E148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8" s="8" t="str">
        <f ca="1">IFERROR(__xludf.DUMMYFUNCTION("""COMPUTED_VALUE"""),"GBP")</f>
        <v>GBP</v>
      </c>
      <c r="G148" s="8">
        <f ca="1">IFERROR(__xludf.DUMMYFUNCTION("""COMPUTED_VALUE"""),4190)</f>
        <v>4190</v>
      </c>
      <c r="H148" s="10">
        <f ca="1">IFERROR(__xludf.DUMMYFUNCTION("""COMPUTED_VALUE"""),4190)</f>
        <v>4190</v>
      </c>
    </row>
    <row r="149" spans="1:8">
      <c r="A149" s="8" t="str">
        <f ca="1">IFERROR(__xludf.DUMMYFUNCTION("""COMPUTED_VALUE"""),"AS-SVC-OP-UPG")</f>
        <v>AS-SVC-OP-UPG</v>
      </c>
      <c r="B149" s="8" t="str">
        <f ca="1">IFERROR(__xludf.DUMMYFUNCTION("""COMPUTED_VALUE"""),"AS-SVC-OP-UPG - Large")</f>
        <v>AS-SVC-OP-UPG - Large</v>
      </c>
      <c r="C149" s="9" t="str">
        <f ca="1">IFERROR(__xludf.DUMMYFUNCTION("""COMPUTED_VALUE"""),"On-Prem Upgrade Services - Large")</f>
        <v>On-Prem Upgrade Services - Large</v>
      </c>
      <c r="D149" s="8" t="str">
        <f ca="1">IFERROR(__xludf.DUMMYFUNCTION("""COMPUTED_VALUE"""),"One-Time")</f>
        <v>One-Time</v>
      </c>
      <c r="E149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9" s="8" t="str">
        <f ca="1">IFERROR(__xludf.DUMMYFUNCTION("""COMPUTED_VALUE"""),"GBP")</f>
        <v>GBP</v>
      </c>
      <c r="G149" s="8">
        <f ca="1">IFERROR(__xludf.DUMMYFUNCTION("""COMPUTED_VALUE"""),16761)</f>
        <v>16761</v>
      </c>
      <c r="H149" s="10">
        <f ca="1">IFERROR(__xludf.DUMMYFUNCTION("""COMPUTED_VALUE"""),16761)</f>
        <v>16761</v>
      </c>
    </row>
    <row r="150" spans="1:8">
      <c r="A150" s="8" t="str">
        <f ca="1">IFERROR(__xludf.DUMMYFUNCTION("""COMPUTED_VALUE"""),"AS-SVC-OP-UPG")</f>
        <v>AS-SVC-OP-UPG</v>
      </c>
      <c r="B150" s="8" t="str">
        <f ca="1">IFERROR(__xludf.DUMMYFUNCTION("""COMPUTED_VALUE"""),"AS-SVC-OP-UPG - Medium")</f>
        <v>AS-SVC-OP-UPG - Medium</v>
      </c>
      <c r="C150" s="9" t="str">
        <f ca="1">IFERROR(__xludf.DUMMYFUNCTION("""COMPUTED_VALUE"""),"On-Prem Upgrade Services - Medium")</f>
        <v>On-Prem Upgrade Services - Medium</v>
      </c>
      <c r="D150" s="8" t="str">
        <f ca="1">IFERROR(__xludf.DUMMYFUNCTION("""COMPUTED_VALUE"""),"One-Time")</f>
        <v>One-Time</v>
      </c>
      <c r="E150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50" s="8" t="str">
        <f ca="1">IFERROR(__xludf.DUMMYFUNCTION("""COMPUTED_VALUE"""),"GBP")</f>
        <v>GBP</v>
      </c>
      <c r="G150" s="8">
        <f ca="1">IFERROR(__xludf.DUMMYFUNCTION("""COMPUTED_VALUE"""),8381)</f>
        <v>8381</v>
      </c>
      <c r="H150" s="10">
        <f ca="1">IFERROR(__xludf.DUMMYFUNCTION("""COMPUTED_VALUE"""),8381)</f>
        <v>8381</v>
      </c>
    </row>
    <row r="151" spans="1:8">
      <c r="A151" s="8" t="str">
        <f ca="1">IFERROR(__xludf.DUMMYFUNCTION("""COMPUTED_VALUE"""),"AS-SVC-POC")</f>
        <v>AS-SVC-POC</v>
      </c>
      <c r="B151" s="8" t="str">
        <f ca="1">IFERROR(__xludf.DUMMYFUNCTION("""COMPUTED_VALUE"""),"AS-SVC-POC Workplace Comms")</f>
        <v>AS-SVC-POC Workplace Comms</v>
      </c>
      <c r="C151" s="9" t="str">
        <f ca="1">IFERROR(__xludf.DUMMYFUNCTION("""COMPUTED_VALUE"""),"Proof of Concept Workplace Comms")</f>
        <v>Proof of Concept Workplace Comms</v>
      </c>
      <c r="D151" s="8" t="str">
        <f ca="1">IFERROR(__xludf.DUMMYFUNCTION("""COMPUTED_VALUE"""),"One-Time")</f>
        <v>One-Time</v>
      </c>
      <c r="E151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1" s="8" t="str">
        <f ca="1">IFERROR(__xludf.DUMMYFUNCTION("""COMPUTED_VALUE"""),"GBP")</f>
        <v>GBP</v>
      </c>
      <c r="G151" s="8">
        <f ca="1">IFERROR(__xludf.DUMMYFUNCTION("""COMPUTED_VALUE"""),2095)</f>
        <v>2095</v>
      </c>
      <c r="H151" s="10">
        <f ca="1">IFERROR(__xludf.DUMMYFUNCTION("""COMPUTED_VALUE"""),2095)</f>
        <v>2095</v>
      </c>
    </row>
    <row r="152" spans="1:8">
      <c r="A152" s="8" t="str">
        <f ca="1">IFERROR(__xludf.DUMMYFUNCTION("""COMPUTED_VALUE"""),"AS-SVC-POC")</f>
        <v>AS-SVC-POC</v>
      </c>
      <c r="B152" s="8" t="str">
        <f ca="1">IFERROR(__xludf.DUMMYFUNCTION("""COMPUTED_VALUE"""),"AS-SVC-POC Space Management")</f>
        <v>AS-SVC-POC Space Management</v>
      </c>
      <c r="C152" s="9" t="str">
        <f ca="1">IFERROR(__xludf.DUMMYFUNCTION("""COMPUTED_VALUE"""),"Proof of Concept Space Management")</f>
        <v>Proof of Concept Space Management</v>
      </c>
      <c r="D152" s="8" t="str">
        <f ca="1">IFERROR(__xludf.DUMMYFUNCTION("""COMPUTED_VALUE"""),"One-Time")</f>
        <v>One-Time</v>
      </c>
      <c r="E152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2" s="8" t="str">
        <f ca="1">IFERROR(__xludf.DUMMYFUNCTION("""COMPUTED_VALUE"""),"GBP")</f>
        <v>GBP</v>
      </c>
      <c r="G152" s="8">
        <f ca="1">IFERROR(__xludf.DUMMYFUNCTION("""COMPUTED_VALUE"""),2095)</f>
        <v>2095</v>
      </c>
      <c r="H152" s="10">
        <f ca="1">IFERROR(__xludf.DUMMYFUNCTION("""COMPUTED_VALUE"""),2095)</f>
        <v>2095</v>
      </c>
    </row>
    <row r="153" spans="1:8">
      <c r="A153" s="8" t="str">
        <f ca="1">IFERROR(__xludf.DUMMYFUNCTION("""COMPUTED_VALUE"""),"AS-SVC-POC")</f>
        <v>AS-SVC-POC</v>
      </c>
      <c r="B153" s="8" t="str">
        <f ca="1">IFERROR(__xludf.DUMMYFUNCTION("""COMPUTED_VALUE"""),"AS-SVC-POC Employee App")</f>
        <v>AS-SVC-POC Employee App</v>
      </c>
      <c r="C153" s="9" t="str">
        <f ca="1">IFERROR(__xludf.DUMMYFUNCTION("""COMPUTED_VALUE"""),"Proof of Concept Employee App")</f>
        <v>Proof of Concept Employee App</v>
      </c>
      <c r="D153" s="8" t="str">
        <f ca="1">IFERROR(__xludf.DUMMYFUNCTION("""COMPUTED_VALUE"""),"One-Time")</f>
        <v>One-Time</v>
      </c>
      <c r="E153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3" s="8" t="str">
        <f ca="1">IFERROR(__xludf.DUMMYFUNCTION("""COMPUTED_VALUE"""),"GBP")</f>
        <v>GBP</v>
      </c>
      <c r="G153" s="8">
        <f ca="1">IFERROR(__xludf.DUMMYFUNCTION("""COMPUTED_VALUE"""),2095)</f>
        <v>2095</v>
      </c>
      <c r="H153" s="10">
        <f ca="1">IFERROR(__xludf.DUMMYFUNCTION("""COMPUTED_VALUE"""),2095)</f>
        <v>2095</v>
      </c>
    </row>
    <row r="154" spans="1:8">
      <c r="A154" s="8" t="str">
        <f ca="1">IFERROR(__xludf.DUMMYFUNCTION("""COMPUTED_VALUE"""),"AS-SVC-RBC-QST")</f>
        <v>AS-SVC-RBC-QST</v>
      </c>
      <c r="B154" s="8" t="str">
        <f ca="1">IFERROR(__xludf.DUMMYFUNCTION("""COMPUTED_VALUE"""),"AS-SVC-RBC-QST")</f>
        <v>AS-SVC-RBC-QST</v>
      </c>
      <c r="C154" s="9" t="str">
        <f ca="1">IFERROR(__xludf.DUMMYFUNCTION("""COMPUTED_VALUE"""),"Room Booking Card Quick Start")</f>
        <v>Room Booking Card Quick Start</v>
      </c>
      <c r="D154" s="8" t="str">
        <f ca="1">IFERROR(__xludf.DUMMYFUNCTION("""COMPUTED_VALUE"""),"One-Time")</f>
        <v>One-Time</v>
      </c>
      <c r="E154" s="9" t="str">
        <f ca="1">IFERROR(__xludf.DUMMYFUNCTION("""COMPUTED_VALUE"""),"Room Booking Card Quick Start - Room Booking Card Setup. Workshop, configuration for up to 20 rooms, customized instruction and documentation, post-setup review and consultation")</f>
        <v>Room Booking Card Quick Start - Room Booking Card Setup. Workshop, configuration for up to 20 rooms, customized instruction and documentation, post-setup review and consultation</v>
      </c>
      <c r="F154" s="8" t="str">
        <f ca="1">IFERROR(__xludf.DUMMYFUNCTION("""COMPUTED_VALUE"""),"GBP")</f>
        <v>GBP</v>
      </c>
      <c r="G154" s="8">
        <f ca="1">IFERROR(__xludf.DUMMYFUNCTION("""COMPUTED_VALUE"""),4190)</f>
        <v>4190</v>
      </c>
      <c r="H154" s="10">
        <f ca="1">IFERROR(__xludf.DUMMYFUNCTION("""COMPUTED_VALUE"""),4190)</f>
        <v>4190</v>
      </c>
    </row>
    <row r="155" spans="1:8">
      <c r="A155" s="8" t="str">
        <f ca="1">IFERROR(__xludf.DUMMYFUNCTION("""COMPUTED_VALUE"""),"AS-SVC-SUPPORT-24-7")</f>
        <v>AS-SVC-SUPPORT-24-7</v>
      </c>
      <c r="B155" s="8" t="str">
        <f ca="1">IFERROR(__xludf.DUMMYFUNCTION("""COMPUTED_VALUE"""),"Annual Plan AS-SVC-SUPPORT-24-7")</f>
        <v>Annual Plan AS-SVC-SUPPORT-24-7</v>
      </c>
      <c r="C155" s="9" t="str">
        <f ca="1">IFERROR(__xludf.DUMMYFUNCTION("""COMPUTED_VALUE"""),"Support Add-on - 24-7")</f>
        <v>Support Add-on - 24-7</v>
      </c>
      <c r="D155" s="8" t="str">
        <f ca="1">IFERROR(__xludf.DUMMYFUNCTION("""COMPUTED_VALUE"""),"Recurring")</f>
        <v>Recurring</v>
      </c>
      <c r="E155" s="9" t="str">
        <f ca="1">IFERROR(__xludf.DUMMYFUNCTION("""COMPUTED_VALUE"""),"Appspace Support Add-on - 24-7. Provides round-the-clock Appspace Customer Care support: 1-hour SLA, 7 days a week, 24 hours per day, unlimited tickets per month, and 20 ticket administrators.")</f>
        <v>Appspace Support Add-on - 24-7. Provides round-the-clock Appspace Customer Care support: 1-hour SLA, 7 days a week, 24 hours per day, unlimited tickets per month, and 20 ticket administrators.</v>
      </c>
      <c r="F155" s="8" t="str">
        <f ca="1">IFERROR(__xludf.DUMMYFUNCTION("""COMPUTED_VALUE"""),"GBP")</f>
        <v>GBP</v>
      </c>
      <c r="G155" s="8">
        <f ca="1">IFERROR(__xludf.DUMMYFUNCTION("""COMPUTED_VALUE"""),2514)</f>
        <v>2514</v>
      </c>
      <c r="H155" s="10">
        <f ca="1">IFERROR(__xludf.DUMMYFUNCTION("""COMPUTED_VALUE"""),30168)</f>
        <v>30168</v>
      </c>
    </row>
    <row r="156" spans="1:8">
      <c r="A156" s="8" t="str">
        <f ca="1">IFERROR(__xludf.DUMMYFUNCTION("""COMPUTED_VALUE"""),"AS-SVC-SUPPORT-ELITE")</f>
        <v>AS-SVC-SUPPORT-ELITE</v>
      </c>
      <c r="B156" s="8" t="str">
        <f ca="1">IFERROR(__xludf.DUMMYFUNCTION("""COMPUTED_VALUE"""),"Annual Plan AS-SVC-SUPPORT-ELITE")</f>
        <v>Annual Plan AS-SVC-SUPPORT-ELITE</v>
      </c>
      <c r="C156" s="9" t="str">
        <f ca="1">IFERROR(__xludf.DUMMYFUNCTION("""COMPUTED_VALUE"""),"Support Add-on - Elite")</f>
        <v>Support Add-on - Elite</v>
      </c>
      <c r="D156" s="8" t="str">
        <f ca="1">IFERROR(__xludf.DUMMYFUNCTION("""COMPUTED_VALUE"""),"Recurring")</f>
        <v>Recurring</v>
      </c>
      <c r="E156" s="9" t="str">
        <f ca="1">IFERROR(__xludf.DUMMYFUNCTION("""COMPUTED_VALUE"""),"Appspace Support Add-on - Elite. Provides access to Elite-level Appspace Customer Care support.")</f>
        <v>Appspace Support Add-on - Elite. Provides access to Elite-level Appspace Customer Care support.</v>
      </c>
      <c r="F156" s="8" t="str">
        <f ca="1">IFERROR(__xludf.DUMMYFUNCTION("""COMPUTED_VALUE"""),"GBP")</f>
        <v>GBP</v>
      </c>
      <c r="G156" s="8">
        <f ca="1">IFERROR(__xludf.DUMMYFUNCTION("""COMPUTED_VALUE"""),838)</f>
        <v>838</v>
      </c>
      <c r="H156" s="10">
        <f ca="1">IFERROR(__xludf.DUMMYFUNCTION("""COMPUTED_VALUE"""),10056)</f>
        <v>10056</v>
      </c>
    </row>
    <row r="157" spans="1:8">
      <c r="A157" s="8" t="str">
        <f ca="1">IFERROR(__xludf.DUMMYFUNCTION("""COMPUTED_VALUE"""),"AS-SVC-SUPPORT-SAM")</f>
        <v>AS-SVC-SUPPORT-SAM</v>
      </c>
      <c r="B157" s="8" t="str">
        <f ca="1">IFERROR(__xludf.DUMMYFUNCTION("""COMPUTED_VALUE"""),"Annual Plan AS-SVC-SUPPORT-SAM")</f>
        <v>Annual Plan AS-SVC-SUPPORT-SAM</v>
      </c>
      <c r="C157" s="9" t="str">
        <f ca="1">IFERROR(__xludf.DUMMYFUNCTION("""COMPUTED_VALUE"""),"Support Account Manager")</f>
        <v>Support Account Manager</v>
      </c>
      <c r="D157" s="8" t="str">
        <f ca="1">IFERROR(__xludf.DUMMYFUNCTION("""COMPUTED_VALUE"""),"Recurring")</f>
        <v>Recurring</v>
      </c>
      <c r="E157" s="9" t="str">
        <f ca="1">IFERROR(__xludf.DUMMYFUNCTION("""COMPUTED_VALUE"""),"Appspace Support Account Manager Add-on. Provides access to a designated Support Account Manager who understands your Appspace deployment and manages your support workflow")</f>
        <v>Appspace Support Account Manager Add-on. Provides access to a designated Support Account Manager who understands your Appspace deployment and manages your support workflow</v>
      </c>
      <c r="F157" s="8" t="str">
        <f ca="1">IFERROR(__xludf.DUMMYFUNCTION("""COMPUTED_VALUE"""),"GBP")</f>
        <v>GBP</v>
      </c>
      <c r="G157" s="8">
        <f ca="1">IFERROR(__xludf.DUMMYFUNCTION("""COMPUTED_VALUE"""),3352)</f>
        <v>3352</v>
      </c>
      <c r="H157" s="10">
        <f ca="1">IFERROR(__xludf.DUMMYFUNCTION("""COMPUTED_VALUE"""),40224)</f>
        <v>40224</v>
      </c>
    </row>
    <row r="158" spans="1:8">
      <c r="A158" s="8" t="str">
        <f ca="1">IFERROR(__xludf.DUMMYFUNCTION("""COMPUTED_VALUE"""),"AS-SVC-SUPPORT-STR")</f>
        <v>AS-SVC-SUPPORT-STR</v>
      </c>
      <c r="B158" s="8" t="str">
        <f ca="1">IFERROR(__xludf.DUMMYFUNCTION("""COMPUTED_VALUE"""),"Annual Plan AS-SVC-SUPPORT-STR")</f>
        <v>Annual Plan AS-SVC-SUPPORT-STR</v>
      </c>
      <c r="C158" s="9" t="str">
        <f ca="1">IFERROR(__xludf.DUMMYFUNCTION("""COMPUTED_VALUE"""),"Support Add-on - Strategic")</f>
        <v>Support Add-on - Strategic</v>
      </c>
      <c r="D158" s="8" t="str">
        <f ca="1">IFERROR(__xludf.DUMMYFUNCTION("""COMPUTED_VALUE"""),"Recurring")</f>
        <v>Recurring</v>
      </c>
      <c r="E158" s="9" t="str">
        <f ca="1">IFERROR(__xludf.DUMMYFUNCTION("""COMPUTED_VALUE"""),"Appspace Support Add-on - Strategic. 24-7 Appspace Customer Care support, 1-hour SLA, unlimited tickets, 20 ticket administrators, executive-level sponsorship, dedicated 6-person support team, prioritized ticket handling, and monthly ticket analytics.")</f>
        <v>Appspace Support Add-on - Strategic. 24-7 Appspace Customer Care support, 1-hour SLA, unlimited tickets, 20 ticket administrators, executive-level sponsorship, dedicated 6-person support team, prioritized ticket handling, and monthly ticket analytics.</v>
      </c>
      <c r="F158" s="8" t="str">
        <f ca="1">IFERROR(__xludf.DUMMYFUNCTION("""COMPUTED_VALUE"""),"GBP")</f>
        <v>GBP</v>
      </c>
      <c r="G158" s="8">
        <f ca="1">IFERROR(__xludf.DUMMYFUNCTION("""COMPUTED_VALUE"""),8381)</f>
        <v>8381</v>
      </c>
      <c r="H158" s="10">
        <f ca="1">IFERROR(__xludf.DUMMYFUNCTION("""COMPUTED_VALUE"""),100572)</f>
        <v>100572</v>
      </c>
    </row>
    <row r="159" spans="1:8">
      <c r="A159" s="8" t="str">
        <f ca="1">IFERROR(__xludf.DUMMYFUNCTION("""COMPUTED_VALUE"""),"AS-SVC-TRAINING-ACC")</f>
        <v>AS-SVC-TRAINING-ACC</v>
      </c>
      <c r="B159" s="8" t="str">
        <f ca="1">IFERROR(__xludf.DUMMYFUNCTION("""COMPUTED_VALUE"""),"Annual Plan AS-SVC-TRAINING-ACC")</f>
        <v>Annual Plan AS-SVC-TRAINING-ACC</v>
      </c>
      <c r="C159" s="9" t="str">
        <f ca="1">IFERROR(__xludf.DUMMYFUNCTION("""COMPUTED_VALUE"""),"All-Access Training")</f>
        <v>All-Access Training</v>
      </c>
      <c r="D159" s="8" t="str">
        <f ca="1">IFERROR(__xludf.DUMMYFUNCTION("""COMPUTED_VALUE"""),"Recurring")</f>
        <v>Recurring</v>
      </c>
      <c r="E159" s="9" t="str">
        <f ca="1">IFERROR(__xludf.DUMMYFUNCTION("""COMPUTED_VALUE"""),"Twelve month, unlimited monthly access to Appspace Basic &amp; Premium trainings and workshops.")</f>
        <v>Twelve month, unlimited monthly access to Appspace Basic &amp; Premium trainings and workshops.</v>
      </c>
      <c r="F159" s="8" t="str">
        <f ca="1">IFERROR(__xludf.DUMMYFUNCTION("""COMPUTED_VALUE"""),"GBP")</f>
        <v>GBP</v>
      </c>
      <c r="G159" s="8">
        <f ca="1">IFERROR(__xludf.DUMMYFUNCTION("""COMPUTED_VALUE"""),1676)</f>
        <v>1676</v>
      </c>
      <c r="H159" s="10">
        <f ca="1">IFERROR(__xludf.DUMMYFUNCTION("""COMPUTED_VALUE"""),20112)</f>
        <v>20112</v>
      </c>
    </row>
    <row r="160" spans="1:8">
      <c r="A160" s="8" t="str">
        <f ca="1">IFERROR(__xludf.DUMMYFUNCTION("""COMPUTED_VALUE"""),"AS-SVC-TRAINING-BASIC")</f>
        <v>AS-SVC-TRAINING-BASIC</v>
      </c>
      <c r="B160" s="8" t="str">
        <f ca="1">IFERROR(__xludf.DUMMYFUNCTION("""COMPUTED_VALUE"""),"AS-SVC-TRAINING-BASIC-LEGACY")</f>
        <v>AS-SVC-TRAINING-BASIC-LEGACY</v>
      </c>
      <c r="C160" s="9" t="str">
        <f ca="1">IFERROR(__xludf.DUMMYFUNCTION("""COMPUTED_VALUE"""),"Platform Training Basic")</f>
        <v>Platform Training Basic</v>
      </c>
      <c r="D160" s="8" t="str">
        <f ca="1">IFERROR(__xludf.DUMMYFUNCTION("""COMPUTED_VALUE"""),"One-Time")</f>
        <v>One-Time</v>
      </c>
      <c r="E160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0" s="8" t="str">
        <f ca="1">IFERROR(__xludf.DUMMYFUNCTION("""COMPUTED_VALUE"""),"GBP")</f>
        <v>GBP</v>
      </c>
      <c r="G160" s="8">
        <f ca="1">IFERROR(__xludf.DUMMYFUNCTION("""COMPUTED_VALUE"""),419)</f>
        <v>419</v>
      </c>
      <c r="H160" s="8">
        <f ca="1">IFERROR(__xludf.DUMMYFUNCTION("""COMPUTED_VALUE"""),419)</f>
        <v>419</v>
      </c>
    </row>
    <row r="161" spans="1:8">
      <c r="A161" s="8" t="str">
        <f ca="1">IFERROR(__xludf.DUMMYFUNCTION("""COMPUTED_VALUE"""),"AS-SVC-TRAINING-BASIC")</f>
        <v>AS-SVC-TRAINING-BASIC</v>
      </c>
      <c r="B161" s="8" t="str">
        <f ca="1">IFERROR(__xludf.DUMMYFUNCTION("""COMPUTED_VALUE"""),"AS-SVC-TRAINING-BASIC")</f>
        <v>AS-SVC-TRAINING-BASIC</v>
      </c>
      <c r="C161" s="9" t="str">
        <f ca="1">IFERROR(__xludf.DUMMYFUNCTION("""COMPUTED_VALUE"""),"Platform Training Basic")</f>
        <v>Platform Training Basic</v>
      </c>
      <c r="D161" s="8" t="str">
        <f ca="1">IFERROR(__xludf.DUMMYFUNCTION("""COMPUTED_VALUE"""),"One-Time")</f>
        <v>One-Time</v>
      </c>
      <c r="E161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1" s="8" t="str">
        <f ca="1">IFERROR(__xludf.DUMMYFUNCTION("""COMPUTED_VALUE"""),"GBP")</f>
        <v>GBP</v>
      </c>
      <c r="G161" s="8">
        <f ca="1">IFERROR(__xludf.DUMMYFUNCTION("""COMPUTED_VALUE"""),419)</f>
        <v>419</v>
      </c>
      <c r="H161" s="10">
        <f ca="1">IFERROR(__xludf.DUMMYFUNCTION("""COMPUTED_VALUE"""),419)</f>
        <v>419</v>
      </c>
    </row>
    <row r="162" spans="1:8">
      <c r="A162" s="8" t="str">
        <f ca="1">IFERROR(__xludf.DUMMYFUNCTION("""COMPUTED_VALUE"""),"AS-SVC-TRAINING-PREMIUM")</f>
        <v>AS-SVC-TRAINING-PREMIUM</v>
      </c>
      <c r="B162" s="8" t="str">
        <f ca="1">IFERROR(__xludf.DUMMYFUNCTION("""COMPUTED_VALUE"""),"AS-SVC-TRAINING-PREMIUM")</f>
        <v>AS-SVC-TRAINING-PREMIUM</v>
      </c>
      <c r="C162" s="9" t="str">
        <f ca="1">IFERROR(__xludf.DUMMYFUNCTION("""COMPUTED_VALUE"""),"Platform Training Premium")</f>
        <v>Platform Training Premium</v>
      </c>
      <c r="D162" s="8" t="str">
        <f ca="1">IFERROR(__xludf.DUMMYFUNCTION("""COMPUTED_VALUE"""),"One-Time")</f>
        <v>One-Time</v>
      </c>
      <c r="E162" s="9" t="str">
        <f ca="1">IFERROR(__xludf.DUMMYFUNCTION("""COMPUTED_VALUE"""),"Appspace Platform Training - Premium. Half-day workshop with Appspace Subject Matter Experts, offering hands-on experience through labs and interactive exercises.")</f>
        <v>Appspace Platform Training - Premium. Half-day workshop with Appspace Subject Matter Experts, offering hands-on experience through labs and interactive exercises.</v>
      </c>
      <c r="F162" s="8" t="str">
        <f ca="1">IFERROR(__xludf.DUMMYFUNCTION("""COMPUTED_VALUE"""),"GBP")</f>
        <v>GBP</v>
      </c>
      <c r="G162" s="8">
        <f ca="1">IFERROR(__xludf.DUMMYFUNCTION("""COMPUTED_VALUE"""),2095)</f>
        <v>2095</v>
      </c>
      <c r="H162" s="10">
        <f ca="1">IFERROR(__xludf.DUMMYFUNCTION("""COMPUTED_VALUE"""),2095)</f>
        <v>2095</v>
      </c>
    </row>
    <row r="163" spans="1:8">
      <c r="A163" s="8" t="str">
        <f ca="1">IFERROR(__xludf.DUMMYFUNCTION("""COMPUTED_VALUE"""),"AS-SVC-VM-QST-BASIC")</f>
        <v>AS-SVC-VM-QST-BASIC</v>
      </c>
      <c r="B163" s="8" t="str">
        <f ca="1">IFERROR(__xludf.DUMMYFUNCTION("""COMPUTED_VALUE"""),"AS-SVC-VM-QST-BASIC")</f>
        <v>AS-SVC-VM-QST-BASIC</v>
      </c>
      <c r="C163" s="9" t="str">
        <f ca="1">IFERROR(__xludf.DUMMYFUNCTION("""COMPUTED_VALUE"""),"Visitor Management Quick Start Basic")</f>
        <v>Visitor Management Quick Start Basic</v>
      </c>
      <c r="D163" s="8" t="str">
        <f ca="1">IFERROR(__xludf.DUMMYFUNCTION("""COMPUTED_VALUE"""),"One-Time")</f>
        <v>One-Time</v>
      </c>
      <c r="E163" s="9" t="str">
        <f ca="1">IFERROR(__xludf.DUMMYFUNCTION("""COMPUTED_VALUE"""),"Visitor Management Quick Start Basic - Discovery session, customized setup documentation, administrator essentials on-demand webinar, pre-go-live setup review.")</f>
        <v>Visitor Management Quick Start Basic - Discovery session, customized setup documentation, administrator essentials on-demand webinar, pre-go-live setup review.</v>
      </c>
      <c r="F163" s="8" t="str">
        <f ca="1">IFERROR(__xludf.DUMMYFUNCTION("""COMPUTED_VALUE"""),"GBP")</f>
        <v>GBP</v>
      </c>
      <c r="G163" s="8">
        <f ca="1">IFERROR(__xludf.DUMMYFUNCTION("""COMPUTED_VALUE"""),2095)</f>
        <v>2095</v>
      </c>
      <c r="H163" s="10">
        <f ca="1">IFERROR(__xludf.DUMMYFUNCTION("""COMPUTED_VALUE"""),2095)</f>
        <v>2095</v>
      </c>
    </row>
    <row r="164" spans="1:8">
      <c r="A164" s="8" t="str">
        <f ca="1">IFERROR(__xludf.DUMMYFUNCTION("""COMPUTED_VALUE"""),"AS-SVC-VM-QST-ELITE")</f>
        <v>AS-SVC-VM-QST-ELITE</v>
      </c>
      <c r="B164" s="8" t="str">
        <f ca="1">IFERROR(__xludf.DUMMYFUNCTION("""COMPUTED_VALUE"""),"AS-SVC-VM-QST-ELITE")</f>
        <v>AS-SVC-VM-QST-ELITE</v>
      </c>
      <c r="C164" s="9" t="str">
        <f ca="1">IFERROR(__xludf.DUMMYFUNCTION("""COMPUTED_VALUE"""),"Visitor Management Quick Start Elite")</f>
        <v>Visitor Management Quick Start Elite</v>
      </c>
      <c r="D164" s="8" t="str">
        <f ca="1">IFERROR(__xludf.DUMMYFUNCTION("""COMPUTED_VALUE"""),"One-Time")</f>
        <v>One-Time</v>
      </c>
      <c r="E164" s="9" t="str">
        <f ca="1">IFERROR(__xludf.DUMMYFUNCTION("""COMPUTED_VALUE"""),"Visitor Management Quick Start Elite - Mutliple-configuration implementation. Discovery workshops, configurations, badge printing setup, branded checkpoint templates, four customized checkpoint templates, documentation, administrator training.")</f>
        <v>Visitor Management Quick Start Elite - Mutliple-configuration implementation. Discovery workshops, configurations, badge printing setup, branded checkpoint templates, four customized checkpoint templates, documentation, administrator training.</v>
      </c>
      <c r="F164" s="8" t="str">
        <f ca="1">IFERROR(__xludf.DUMMYFUNCTION("""COMPUTED_VALUE"""),"GBP")</f>
        <v>GBP</v>
      </c>
      <c r="G164" s="8">
        <f ca="1">IFERROR(__xludf.DUMMYFUNCTION("""COMPUTED_VALUE"""),16761)</f>
        <v>16761</v>
      </c>
      <c r="H164" s="10">
        <f ca="1">IFERROR(__xludf.DUMMYFUNCTION("""COMPUTED_VALUE"""),16761)</f>
        <v>16761</v>
      </c>
    </row>
    <row r="165" spans="1:8">
      <c r="A165" s="8" t="str">
        <f ca="1">IFERROR(__xludf.DUMMYFUNCTION("""COMPUTED_VALUE"""),"AS-SVC-VM-QST-PREMIUM")</f>
        <v>AS-SVC-VM-QST-PREMIUM</v>
      </c>
      <c r="B165" s="8" t="str">
        <f ca="1">IFERROR(__xludf.DUMMYFUNCTION("""COMPUTED_VALUE"""),"AS-SVC-VM-QST-PREMIUM")</f>
        <v>AS-SVC-VM-QST-PREMIUM</v>
      </c>
      <c r="C165" s="9" t="str">
        <f ca="1">IFERROR(__xludf.DUMMYFUNCTION("""COMPUTED_VALUE"""),"Visitor Management Quick Start Premium")</f>
        <v>Visitor Management Quick Start Premium</v>
      </c>
      <c r="D165" s="8" t="str">
        <f ca="1">IFERROR(__xludf.DUMMYFUNCTION("""COMPUTED_VALUE"""),"One-Time")</f>
        <v>One-Time</v>
      </c>
      <c r="E165" s="9" t="str">
        <f ca="1">IFERROR(__xludf.DUMMYFUNCTION("""COMPUTED_VALUE"""),"Visitor Management Quick Start Premium - Single-configuration implementation. Discovery workshop, configuration, badge printing setup, branded checkpoint templates, two customized checkpoint templates, documentation, administrator training.")</f>
        <v>Visitor Management Quick Start Premium - Single-configuration implementation. Discovery workshop, configuration, badge printing setup, branded checkpoint templates, two customized checkpoint templates, documentation, administrator training.</v>
      </c>
      <c r="F165" s="8" t="str">
        <f ca="1">IFERROR(__xludf.DUMMYFUNCTION("""COMPUTED_VALUE"""),"GBP")</f>
        <v>GBP</v>
      </c>
      <c r="G165" s="8">
        <f ca="1">IFERROR(__xludf.DUMMYFUNCTION("""COMPUTED_VALUE"""),8381)</f>
        <v>8381</v>
      </c>
      <c r="H165" s="10">
        <f ca="1">IFERROR(__xludf.DUMMYFUNCTION("""COMPUTED_VALUE"""),8381)</f>
        <v>8381</v>
      </c>
    </row>
    <row r="166" spans="1:8">
      <c r="A166" s="8" t="str">
        <f ca="1">IFERROR(__xludf.DUMMYFUNCTION("""COMPUTED_VALUE"""),"AS-SVC-WF-BASIC")</f>
        <v>AS-SVC-WF-BASIC</v>
      </c>
      <c r="B166" s="8" t="str">
        <f ca="1">IFERROR(__xludf.DUMMYFUNCTION("""COMPUTED_VALUE"""),"AS-SVC-WF-BASIC With 2D Map")</f>
        <v>AS-SVC-WF-BASIC With 2D Map</v>
      </c>
      <c r="C166" s="9" t="str">
        <f ca="1">IFERROR(__xludf.DUMMYFUNCTION("""COMPUTED_VALUE"""),"Appspace Wayfinding Basic")</f>
        <v>Appspace Wayfinding Basic</v>
      </c>
      <c r="D166" s="8" t="str">
        <f ca="1">IFERROR(__xludf.DUMMYFUNCTION("""COMPUTED_VALUE"""),"One-Time")</f>
        <v>One-Time</v>
      </c>
      <c r="E166" s="9" t="str">
        <f ca="1">IFERROR(__xludf.DUMMYFUNCTION("""COMPUTED_VALUE"""),"Appspace Wayfinding")</f>
        <v>Appspace Wayfinding</v>
      </c>
      <c r="F166" s="8" t="str">
        <f ca="1">IFERROR(__xludf.DUMMYFUNCTION("""COMPUTED_VALUE"""),"GBP")</f>
        <v>GBP</v>
      </c>
      <c r="G166" s="8">
        <f ca="1">IFERROR(__xludf.DUMMYFUNCTION("""COMPUTED_VALUE"""),4190)</f>
        <v>4190</v>
      </c>
      <c r="H166" s="10">
        <f ca="1">IFERROR(__xludf.DUMMYFUNCTION("""COMPUTED_VALUE"""),4190)</f>
        <v>4190</v>
      </c>
    </row>
    <row r="167" spans="1:8">
      <c r="A167" s="8" t="str">
        <f ca="1">IFERROR(__xludf.DUMMYFUNCTION("""COMPUTED_VALUE"""),"AS-SVC-WF-BASIC")</f>
        <v>AS-SVC-WF-BASIC</v>
      </c>
      <c r="B167" s="8" t="str">
        <f ca="1">IFERROR(__xludf.DUMMYFUNCTION("""COMPUTED_VALUE"""),"AS-SVC-WF-BASIC With 3D Map")</f>
        <v>AS-SVC-WF-BASIC With 3D Map</v>
      </c>
      <c r="C167" s="9" t="str">
        <f ca="1">IFERROR(__xludf.DUMMYFUNCTION("""COMPUTED_VALUE"""),"Appspace Wayfinding Basic")</f>
        <v>Appspace Wayfinding Basic</v>
      </c>
      <c r="D167" s="8" t="str">
        <f ca="1">IFERROR(__xludf.DUMMYFUNCTION("""COMPUTED_VALUE"""),"One-Time")</f>
        <v>One-Time</v>
      </c>
      <c r="E167" s="9" t="str">
        <f ca="1">IFERROR(__xludf.DUMMYFUNCTION("""COMPUTED_VALUE"""),"Appspace Wayfinding")</f>
        <v>Appspace Wayfinding</v>
      </c>
      <c r="F167" s="8" t="str">
        <f ca="1">IFERROR(__xludf.DUMMYFUNCTION("""COMPUTED_VALUE"""),"GBP")</f>
        <v>GBP</v>
      </c>
      <c r="G167" s="8">
        <f ca="1">IFERROR(__xludf.DUMMYFUNCTION("""COMPUTED_VALUE"""),4190)</f>
        <v>4190</v>
      </c>
      <c r="H167" s="10">
        <f ca="1">IFERROR(__xludf.DUMMYFUNCTION("""COMPUTED_VALUE"""),4190)</f>
        <v>4190</v>
      </c>
    </row>
    <row r="168" spans="1:8">
      <c r="A168" s="8" t="str">
        <f ca="1">IFERROR(__xludf.DUMMYFUNCTION("""COMPUTED_VALUE"""),"AS-SVC-WF-ELITE")</f>
        <v>AS-SVC-WF-ELITE</v>
      </c>
      <c r="B168" s="8" t="str">
        <f ca="1">IFERROR(__xludf.DUMMYFUNCTION("""COMPUTED_VALUE"""),"AS-SVC-WF-ELITE")</f>
        <v>AS-SVC-WF-ELITE</v>
      </c>
      <c r="C168" s="9" t="str">
        <f ca="1">IFERROR(__xludf.DUMMYFUNCTION("""COMPUTED_VALUE"""),"Wayfinding - Elite")</f>
        <v>Wayfinding - Elite</v>
      </c>
      <c r="D168" s="8" t="str">
        <f ca="1">IFERROR(__xludf.DUMMYFUNCTION("""COMPUTED_VALUE"""),"One-Time")</f>
        <v>One-Time</v>
      </c>
      <c r="E168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8" s="8" t="str">
        <f ca="1">IFERROR(__xludf.DUMMYFUNCTION("""COMPUTED_VALUE"""),"GBP")</f>
        <v>GBP</v>
      </c>
      <c r="G168" s="8">
        <f ca="1">IFERROR(__xludf.DUMMYFUNCTION("""COMPUTED_VALUE"""),16761)</f>
        <v>16761</v>
      </c>
      <c r="H168" s="10">
        <f ca="1">IFERROR(__xludf.DUMMYFUNCTION("""COMPUTED_VALUE"""),16761)</f>
        <v>16761</v>
      </c>
    </row>
    <row r="169" spans="1:8">
      <c r="A169" s="8" t="str">
        <f ca="1">IFERROR(__xludf.DUMMYFUNCTION("""COMPUTED_VALUE"""),"AS-SVC-WF-ELITE")</f>
        <v>AS-SVC-WF-ELITE</v>
      </c>
      <c r="B169" s="8" t="str">
        <f ca="1">IFERROR(__xludf.DUMMYFUNCTION("""COMPUTED_VALUE"""),"AS-SVC-WF-ELITE 2D")</f>
        <v>AS-SVC-WF-ELITE 2D</v>
      </c>
      <c r="C169" s="9" t="str">
        <f ca="1">IFERROR(__xludf.DUMMYFUNCTION("""COMPUTED_VALUE"""),"Wayfinding - Elite")</f>
        <v>Wayfinding - Elite</v>
      </c>
      <c r="D169" s="8" t="str">
        <f ca="1">IFERROR(__xludf.DUMMYFUNCTION("""COMPUTED_VALUE"""),"One-Time")</f>
        <v>One-Time</v>
      </c>
      <c r="E169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9" s="8" t="str">
        <f ca="1">IFERROR(__xludf.DUMMYFUNCTION("""COMPUTED_VALUE"""),"GBP")</f>
        <v>GBP</v>
      </c>
      <c r="G169" s="8">
        <f ca="1">IFERROR(__xludf.DUMMYFUNCTION("""COMPUTED_VALUE"""),20952)</f>
        <v>20952</v>
      </c>
      <c r="H169" s="10">
        <f ca="1">IFERROR(__xludf.DUMMYFUNCTION("""COMPUTED_VALUE"""),20952)</f>
        <v>20952</v>
      </c>
    </row>
    <row r="170" spans="1:8">
      <c r="A170" s="8" t="str">
        <f ca="1">IFERROR(__xludf.DUMMYFUNCTION("""COMPUTED_VALUE"""),"AS-SVC-WF-ELITE")</f>
        <v>AS-SVC-WF-ELITE</v>
      </c>
      <c r="B170" s="8" t="str">
        <f ca="1">IFERROR(__xludf.DUMMYFUNCTION("""COMPUTED_VALUE"""),"AS-SVC-WF-ELITE 3D")</f>
        <v>AS-SVC-WF-ELITE 3D</v>
      </c>
      <c r="C170" s="9" t="str">
        <f ca="1">IFERROR(__xludf.DUMMYFUNCTION("""COMPUTED_VALUE"""),"Wayfinding - Elite")</f>
        <v>Wayfinding - Elite</v>
      </c>
      <c r="D170" s="8" t="str">
        <f ca="1">IFERROR(__xludf.DUMMYFUNCTION("""COMPUTED_VALUE"""),"One-Time")</f>
        <v>One-Time</v>
      </c>
      <c r="E170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70" s="8" t="str">
        <f ca="1">IFERROR(__xludf.DUMMYFUNCTION("""COMPUTED_VALUE"""),"GBP")</f>
        <v>GBP</v>
      </c>
      <c r="G170" s="8">
        <f ca="1">IFERROR(__xludf.DUMMYFUNCTION("""COMPUTED_VALUE"""),20952)</f>
        <v>20952</v>
      </c>
      <c r="H170" s="10">
        <f ca="1">IFERROR(__xludf.DUMMYFUNCTION("""COMPUTED_VALUE"""),20952)</f>
        <v>20952</v>
      </c>
    </row>
    <row r="171" spans="1:8">
      <c r="A171" s="8" t="str">
        <f ca="1">IFERROR(__xludf.DUMMYFUNCTION("""COMPUTED_VALUE"""),"AS-SVC-WF-PREMIUM")</f>
        <v>AS-SVC-WF-PREMIUM</v>
      </c>
      <c r="B171" s="8" t="str">
        <f ca="1">IFERROR(__xludf.DUMMYFUNCTION("""COMPUTED_VALUE"""),"AS-SVC-WF-PREMIUM With 2D Map")</f>
        <v>AS-SVC-WF-PREMIUM With 2D Map</v>
      </c>
      <c r="C171" s="9" t="str">
        <f ca="1">IFERROR(__xludf.DUMMYFUNCTION("""COMPUTED_VALUE"""),"Appspace Wayfinding Premium")</f>
        <v>Appspace Wayfinding Premium</v>
      </c>
      <c r="D171" s="8" t="str">
        <f ca="1">IFERROR(__xludf.DUMMYFUNCTION("""COMPUTED_VALUE"""),"One-Time")</f>
        <v>One-Time</v>
      </c>
      <c r="E171" s="9" t="str">
        <f ca="1">IFERROR(__xludf.DUMMYFUNCTION("""COMPUTED_VALUE"""),"Wayfinding - Premium")</f>
        <v>Wayfinding - Premium</v>
      </c>
      <c r="F171" s="8" t="str">
        <f ca="1">IFERROR(__xludf.DUMMYFUNCTION("""COMPUTED_VALUE"""),"GBP")</f>
        <v>GBP</v>
      </c>
      <c r="G171" s="8">
        <f ca="1">IFERROR(__xludf.DUMMYFUNCTION("""COMPUTED_VALUE"""),8381)</f>
        <v>8381</v>
      </c>
      <c r="H171" s="10">
        <f ca="1">IFERROR(__xludf.DUMMYFUNCTION("""COMPUTED_VALUE"""),8381)</f>
        <v>8381</v>
      </c>
    </row>
    <row r="172" spans="1:8">
      <c r="A172" s="8" t="str">
        <f ca="1">IFERROR(__xludf.DUMMYFUNCTION("""COMPUTED_VALUE"""),"AS-SVC-WPM-ADVISORY")</f>
        <v>AS-SVC-WPM-ADVISORY</v>
      </c>
      <c r="B172" s="8" t="str">
        <f ca="1">IFERROR(__xludf.DUMMYFUNCTION("""COMPUTED_VALUE"""),"Annual Plan AS-SVC-WPM-ADVISORY")</f>
        <v>Annual Plan AS-SVC-WPM-ADVISORY</v>
      </c>
      <c r="C172" s="9" t="str">
        <f ca="1">IFERROR(__xludf.DUMMYFUNCTION("""COMPUTED_VALUE"""),"Workplace Management Advisory")</f>
        <v>Workplace Management Advisory</v>
      </c>
      <c r="D172" s="8" t="str">
        <f ca="1">IFERROR(__xludf.DUMMYFUNCTION("""COMPUTED_VALUE"""),"Recurring")</f>
        <v>Recurring</v>
      </c>
      <c r="E172" s="9" t="str">
        <f ca="1">IFERROR(__xludf.DUMMYFUNCTION("""COMPUTED_VALUE"""),"Workplace Management Advisory - Comprehensive Workplace Management strategy for your digital &amp; physical workplaces. Ongoing strategic insight into platform usage, industry trends, and product development.")</f>
        <v>Workplace Management Advisory - Comprehensive Workplace Management strategy for your digital &amp; physical workplaces. Ongoing strategic insight into platform usage, industry trends, and product development.</v>
      </c>
      <c r="F172" s="8" t="str">
        <f ca="1">IFERROR(__xludf.DUMMYFUNCTION("""COMPUTED_VALUE"""),"GBP")</f>
        <v>GBP</v>
      </c>
      <c r="G172" s="8">
        <f ca="1">IFERROR(__xludf.DUMMYFUNCTION("""COMPUTED_VALUE"""),2514)</f>
        <v>2514</v>
      </c>
      <c r="H172" s="10">
        <f ca="1">IFERROR(__xludf.DUMMYFUNCTION("""COMPUTED_VALUE"""),30168)</f>
        <v>30168</v>
      </c>
    </row>
    <row r="173" spans="1:8">
      <c r="A173" s="8" t="str">
        <f ca="1">IFERROR(__xludf.DUMMYFUNCTION("""COMPUTED_VALUE"""),"AS-SVC-WPM-QST-ELITE")</f>
        <v>AS-SVC-WPM-QST-ELITE</v>
      </c>
      <c r="B173" s="8" t="str">
        <f ca="1">IFERROR(__xludf.DUMMYFUNCTION("""COMPUTED_VALUE"""),"AS-SVC-WPM-QST-ELITE")</f>
        <v>AS-SVC-WPM-QST-ELITE</v>
      </c>
      <c r="C173" s="9" t="str">
        <f ca="1">IFERROR(__xludf.DUMMYFUNCTION("""COMPUTED_VALUE"""),"Workplace Management Quick Start Elite")</f>
        <v>Workplace Management Quick Start Elite</v>
      </c>
      <c r="D173" s="8" t="str">
        <f ca="1">IFERROR(__xludf.DUMMYFUNCTION("""COMPUTED_VALUE"""),"One-Time")</f>
        <v>One-Time</v>
      </c>
      <c r="E173" s="9" t="str">
        <f ca="1">IFERROR(__xludf.DUMMYFUNCTION("""COMPUTED_VALUE"""),"Workplace Management Quick Start Elite - Multiple-location implementation. Customized implementation plan, Elite Quick Start for Space Reservation, Room Booking, Visitor Management, Elite Wayfinding kiosk. Includes up to first 15 floors.")</f>
        <v>Workplace Management Quick Start Elite - Multiple-location implementation. Customized implementation plan, Elite Quick Start for Space Reservation, Room Booking, Visitor Management, Elite Wayfinding kiosk. Includes up to first 15 floors.</v>
      </c>
      <c r="F173" s="8" t="str">
        <f ca="1">IFERROR(__xludf.DUMMYFUNCTION("""COMPUTED_VALUE"""),"GBP")</f>
        <v>GBP</v>
      </c>
      <c r="G173" s="8">
        <f ca="1">IFERROR(__xludf.DUMMYFUNCTION("""COMPUTED_VALUE"""),67045)</f>
        <v>67045</v>
      </c>
      <c r="H173" s="10">
        <f ca="1">IFERROR(__xludf.DUMMYFUNCTION("""COMPUTED_VALUE"""),67045)</f>
        <v>67045</v>
      </c>
    </row>
    <row r="174" spans="1:8">
      <c r="A174" s="8" t="str">
        <f ca="1">IFERROR(__xludf.DUMMYFUNCTION("""COMPUTED_VALUE"""),"AS-SVC-WPM-QST-PREMIUM")</f>
        <v>AS-SVC-WPM-QST-PREMIUM</v>
      </c>
      <c r="B174" s="8" t="str">
        <f ca="1">IFERROR(__xludf.DUMMYFUNCTION("""COMPUTED_VALUE"""),"AS-SVC-WPM-QST-PREMIUM")</f>
        <v>AS-SVC-WPM-QST-PREMIUM</v>
      </c>
      <c r="C174" s="9" t="str">
        <f ca="1">IFERROR(__xludf.DUMMYFUNCTION("""COMPUTED_VALUE"""),"Workplace Management Quick Start Premium")</f>
        <v>Workplace Management Quick Start Premium</v>
      </c>
      <c r="D174" s="8" t="str">
        <f ca="1">IFERROR(__xludf.DUMMYFUNCTION("""COMPUTED_VALUE"""),"One-Time")</f>
        <v>One-Time</v>
      </c>
      <c r="E174" s="9" t="str">
        <f ca="1">IFERROR(__xludf.DUMMYFUNCTION("""COMPUTED_VALUE"""),"Workplace Management Quick Start Premium - Single-location implementation. Customized implementation plan, Premium Quick Start for Space Reservation, Room Booking, Visitor Management, Elite Wayfinding Kiosk. Includes up to first 10 floors.")</f>
        <v>Workplace Management Quick Start Premium - Single-location implementation. Customized implementation plan, Premium Quick Start for Space Reservation, Room Booking, Visitor Management, Elite Wayfinding Kiosk. Includes up to first 10 floors.</v>
      </c>
      <c r="F174" s="8" t="str">
        <f ca="1">IFERROR(__xludf.DUMMYFUNCTION("""COMPUTED_VALUE"""),"GBP")</f>
        <v>GBP</v>
      </c>
      <c r="G174" s="8">
        <f ca="1">IFERROR(__xludf.DUMMYFUNCTION("""COMPUTED_VALUE"""),41903)</f>
        <v>41903</v>
      </c>
      <c r="H174" s="10">
        <f ca="1">IFERROR(__xludf.DUMMYFUNCTION("""COMPUTED_VALUE"""),41903)</f>
        <v>41903</v>
      </c>
    </row>
    <row r="175" spans="1:8">
      <c r="A175" s="8" t="str">
        <f ca="1">IFERROR(__xludf.DUMMYFUNCTION("""COMPUTED_VALUE"""),"AS-SVC-WXP-ADVISORY")</f>
        <v>AS-SVC-WXP-ADVISORY</v>
      </c>
      <c r="B175" s="8" t="str">
        <f ca="1">IFERROR(__xludf.DUMMYFUNCTION("""COMPUTED_VALUE"""),"Annual Plan AS-SVC-WXP-ADVISORY")</f>
        <v>Annual Plan AS-SVC-WXP-ADVISORY</v>
      </c>
      <c r="C175" s="9" t="str">
        <f ca="1">IFERROR(__xludf.DUMMYFUNCTION("""COMPUTED_VALUE"""),"Workplace Experience Advisory")</f>
        <v>Workplace Experience Advisory</v>
      </c>
      <c r="D175" s="8" t="str">
        <f ca="1">IFERROR(__xludf.DUMMYFUNCTION("""COMPUTED_VALUE"""),"Recurring")</f>
        <v>Recurring</v>
      </c>
      <c r="E175" s="9" t="str">
        <f ca="1">IFERROR(__xludf.DUMMYFUNCTION("""COMPUTED_VALUE"""),"Workplace Experience Advisory - Comprehensive strategy for your digital &amp; physical workplaces. Ongoing strategic insights into platform usage, industry trends and product development.")</f>
        <v>Workplace Experience Advisory - Comprehensive strategy for your digital &amp; physical workplaces. Ongoing strategic insights into platform usage, industry trends and product development.</v>
      </c>
      <c r="F175" s="8" t="str">
        <f ca="1">IFERROR(__xludf.DUMMYFUNCTION("""COMPUTED_VALUE"""),"GBP")</f>
        <v>GBP</v>
      </c>
      <c r="G175" s="8">
        <f ca="1">IFERROR(__xludf.DUMMYFUNCTION("""COMPUTED_VALUE"""),3352)</f>
        <v>3352</v>
      </c>
      <c r="H175" s="10">
        <f ca="1">IFERROR(__xludf.DUMMYFUNCTION("""COMPUTED_VALUE"""),40224)</f>
        <v>40224</v>
      </c>
    </row>
    <row r="176" spans="1:8">
      <c r="A176" s="8" t="str">
        <f ca="1">IFERROR(__xludf.DUMMYFUNCTION("""COMPUTED_VALUE"""),"AS-USR-SUPPORT-CL")</f>
        <v>AS-USR-SUPPORT-CL</v>
      </c>
      <c r="B176" s="8" t="str">
        <f ca="1">IFERROR(__xludf.DUMMYFUNCTION("""COMPUTED_VALUE"""),"Custom Plan AS-USR-SUPPORT-CL")</f>
        <v>Custom Plan AS-USR-SUPPORT-CL</v>
      </c>
      <c r="C176" s="9" t="str">
        <f ca="1">IFERROR(__xludf.DUMMYFUNCTION("""COMPUTED_VALUE"""),"Support User License")</f>
        <v>Support User License</v>
      </c>
      <c r="D176" s="8" t="str">
        <f ca="1">IFERROR(__xludf.DUMMYFUNCTION("""COMPUTED_VALUE"""),"Recurring")</f>
        <v>Recurring</v>
      </c>
      <c r="E17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6" s="8" t="str">
        <f ca="1">IFERROR(__xludf.DUMMYFUNCTION("""COMPUTED_VALUE"""),"GBP")</f>
        <v>GBP</v>
      </c>
      <c r="G176" s="8">
        <f ca="1">IFERROR(__xludf.DUMMYFUNCTION("""COMPUTED_VALUE"""),20.95)</f>
        <v>20.95</v>
      </c>
      <c r="H176" s="8">
        <f ca="1">IFERROR(__xludf.DUMMYFUNCTION("""COMPUTED_VALUE"""),251.4)</f>
        <v>251.4</v>
      </c>
    </row>
    <row r="177" spans="1:8">
      <c r="A177" s="8" t="str">
        <f ca="1">IFERROR(__xludf.DUMMYFUNCTION("""COMPUTED_VALUE"""),"AS-USR-SUPPORT-CL")</f>
        <v>AS-USR-SUPPORT-CL</v>
      </c>
      <c r="B177" s="8" t="str">
        <f ca="1">IFERROR(__xludf.DUMMYFUNCTION("""COMPUTED_VALUE"""),"Monthly AS-USR-SUPPORT-CL")</f>
        <v>Monthly AS-USR-SUPPORT-CL</v>
      </c>
      <c r="C177" s="9" t="str">
        <f ca="1">IFERROR(__xludf.DUMMYFUNCTION("""COMPUTED_VALUE"""),"Support User License")</f>
        <v>Support User License</v>
      </c>
      <c r="D177" s="8" t="str">
        <f ca="1">IFERROR(__xludf.DUMMYFUNCTION("""COMPUTED_VALUE"""),"Recurring")</f>
        <v>Recurring</v>
      </c>
      <c r="E17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7" s="8" t="str">
        <f ca="1">IFERROR(__xludf.DUMMYFUNCTION("""COMPUTED_VALUE"""),"GBP")</f>
        <v>GBP</v>
      </c>
      <c r="G177" s="8">
        <f ca="1">IFERROR(__xludf.DUMMYFUNCTION("""COMPUTED_VALUE"""),25.14)</f>
        <v>25.14</v>
      </c>
      <c r="H177" s="8">
        <f ca="1">IFERROR(__xludf.DUMMYFUNCTION("""COMPUTED_VALUE"""),301.68)</f>
        <v>301.68</v>
      </c>
    </row>
    <row r="178" spans="1:8">
      <c r="A178" s="8" t="str">
        <f ca="1">IFERROR(__xludf.DUMMYFUNCTION("""COMPUTED_VALUE"""),"AS-USR-SUPPORT-CL")</f>
        <v>AS-USR-SUPPORT-CL</v>
      </c>
      <c r="B178" s="8" t="str">
        <f ca="1">IFERROR(__xludf.DUMMYFUNCTION("""COMPUTED_VALUE"""),"Annual Plan AS-USR-SUPPORT-CL")</f>
        <v>Annual Plan AS-USR-SUPPORT-CL</v>
      </c>
      <c r="C178" s="9" t="str">
        <f ca="1">IFERROR(__xludf.DUMMYFUNCTION("""COMPUTED_VALUE"""),"Support User License")</f>
        <v>Support User License</v>
      </c>
      <c r="D178" s="8" t="str">
        <f ca="1">IFERROR(__xludf.DUMMYFUNCTION("""COMPUTED_VALUE"""),"Recurring")</f>
        <v>Recurring</v>
      </c>
      <c r="E178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8" s="8" t="str">
        <f ca="1">IFERROR(__xludf.DUMMYFUNCTION("""COMPUTED_VALUE"""),"GBP")</f>
        <v>GBP</v>
      </c>
      <c r="G178" s="8">
        <f ca="1">IFERROR(__xludf.DUMMYFUNCTION("""COMPUTED_VALUE"""),20.95)</f>
        <v>20.95</v>
      </c>
      <c r="H178" s="8">
        <f ca="1">IFERROR(__xludf.DUMMYFUNCTION("""COMPUTED_VALUE"""),251.4)</f>
        <v>251.4</v>
      </c>
    </row>
    <row r="179" spans="1:8">
      <c r="A179" s="8" t="str">
        <f ca="1">IFERROR(__xludf.DUMMYFUNCTION("""COMPUTED_VALUE"""),"AS-USR-SUPPORT-CL")</f>
        <v>AS-USR-SUPPORT-CL</v>
      </c>
      <c r="B179" s="8" t="str">
        <f ca="1">IFERROR(__xludf.DUMMYFUNCTION("""COMPUTED_VALUE"""),"Prepaid Plan AS-USR-SUPPORT-CL")</f>
        <v>Prepaid Plan AS-USR-SUPPORT-CL</v>
      </c>
      <c r="C179" s="9" t="str">
        <f ca="1">IFERROR(__xludf.DUMMYFUNCTION("""COMPUTED_VALUE"""),"Support User License")</f>
        <v>Support User License</v>
      </c>
      <c r="D179" s="8" t="str">
        <f ca="1">IFERROR(__xludf.DUMMYFUNCTION("""COMPUTED_VALUE"""),"Recurring")</f>
        <v>Recurring</v>
      </c>
      <c r="E179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9" s="8" t="str">
        <f ca="1">IFERROR(__xludf.DUMMYFUNCTION("""COMPUTED_VALUE"""),"GBP")</f>
        <v>GBP</v>
      </c>
      <c r="G179" s="8">
        <f ca="1">IFERROR(__xludf.DUMMYFUNCTION("""COMPUTED_VALUE"""),20.95)</f>
        <v>20.95</v>
      </c>
      <c r="H179" s="8">
        <f ca="1">IFERROR(__xludf.DUMMYFUNCTION("""COMPUTED_VALUE"""),251.4)</f>
        <v>251.4</v>
      </c>
    </row>
    <row r="180" spans="1:8">
      <c r="A180" s="8" t="str">
        <f ca="1">IFERROR(__xludf.DUMMYFUNCTION("""COMPUTED_VALUE"""),"AS-USR-SUPPORT-OP")</f>
        <v>AS-USR-SUPPORT-OP</v>
      </c>
      <c r="B180" s="8" t="str">
        <f ca="1">IFERROR(__xludf.DUMMYFUNCTION("""COMPUTED_VALUE"""),"Monthly AS-USR-SUPPORT-OP")</f>
        <v>Monthly AS-USR-SUPPORT-OP</v>
      </c>
      <c r="C180" s="9" t="str">
        <f ca="1">IFERROR(__xludf.DUMMYFUNCTION("""COMPUTED_VALUE"""),"Support User License")</f>
        <v>Support User License</v>
      </c>
      <c r="D180" s="8" t="str">
        <f ca="1">IFERROR(__xludf.DUMMYFUNCTION("""COMPUTED_VALUE"""),"Recurring")</f>
        <v>Recurring</v>
      </c>
      <c r="E180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0" s="8" t="str">
        <f ca="1">IFERROR(__xludf.DUMMYFUNCTION("""COMPUTED_VALUE"""),"GBP")</f>
        <v>GBP</v>
      </c>
      <c r="G180" s="8">
        <f ca="1">IFERROR(__xludf.DUMMYFUNCTION("""COMPUTED_VALUE"""),50.28)</f>
        <v>50.28</v>
      </c>
      <c r="H180" s="8">
        <f ca="1">IFERROR(__xludf.DUMMYFUNCTION("""COMPUTED_VALUE"""),603.36)</f>
        <v>603.36</v>
      </c>
    </row>
    <row r="181" spans="1:8">
      <c r="A181" s="8" t="str">
        <f ca="1">IFERROR(__xludf.DUMMYFUNCTION("""COMPUTED_VALUE"""),"AS-USR-SUPPORT-OP")</f>
        <v>AS-USR-SUPPORT-OP</v>
      </c>
      <c r="B181" s="8" t="str">
        <f ca="1">IFERROR(__xludf.DUMMYFUNCTION("""COMPUTED_VALUE"""),"Prepaid Plan AS-USR-SUPPORT-OP")</f>
        <v>Prepaid Plan AS-USR-SUPPORT-OP</v>
      </c>
      <c r="C181" s="9" t="str">
        <f ca="1">IFERROR(__xludf.DUMMYFUNCTION("""COMPUTED_VALUE"""),"Support User License")</f>
        <v>Support User License</v>
      </c>
      <c r="D181" s="8" t="str">
        <f ca="1">IFERROR(__xludf.DUMMYFUNCTION("""COMPUTED_VALUE"""),"Recurring")</f>
        <v>Recurring</v>
      </c>
      <c r="E181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1" s="8" t="str">
        <f ca="1">IFERROR(__xludf.DUMMYFUNCTION("""COMPUTED_VALUE"""),"GBP")</f>
        <v>GBP</v>
      </c>
      <c r="G181" s="8">
        <f ca="1">IFERROR(__xludf.DUMMYFUNCTION("""COMPUTED_VALUE"""),41.9)</f>
        <v>41.9</v>
      </c>
      <c r="H181" s="8">
        <f ca="1">IFERROR(__xludf.DUMMYFUNCTION("""COMPUTED_VALUE"""),502.8)</f>
        <v>502.8</v>
      </c>
    </row>
    <row r="182" spans="1:8">
      <c r="A182" s="8" t="str">
        <f ca="1">IFERROR(__xludf.DUMMYFUNCTION("""COMPUTED_VALUE"""),"AS-USR-SUPPORT-OP")</f>
        <v>AS-USR-SUPPORT-OP</v>
      </c>
      <c r="B182" s="8" t="str">
        <f ca="1">IFERROR(__xludf.DUMMYFUNCTION("""COMPUTED_VALUE"""),"Custom Plan AS-USR-SUPPORT-OP")</f>
        <v>Custom Plan AS-USR-SUPPORT-OP</v>
      </c>
      <c r="C182" s="9" t="str">
        <f ca="1">IFERROR(__xludf.DUMMYFUNCTION("""COMPUTED_VALUE"""),"Support User License")</f>
        <v>Support User License</v>
      </c>
      <c r="D182" s="8" t="str">
        <f ca="1">IFERROR(__xludf.DUMMYFUNCTION("""COMPUTED_VALUE"""),"Recurring")</f>
        <v>Recurring</v>
      </c>
      <c r="E182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2" s="8" t="str">
        <f ca="1">IFERROR(__xludf.DUMMYFUNCTION("""COMPUTED_VALUE"""),"GBP")</f>
        <v>GBP</v>
      </c>
      <c r="G182" s="8">
        <f ca="1">IFERROR(__xludf.DUMMYFUNCTION("""COMPUTED_VALUE"""),41.9)</f>
        <v>41.9</v>
      </c>
      <c r="H182" s="8">
        <f ca="1">IFERROR(__xludf.DUMMYFUNCTION("""COMPUTED_VALUE"""),502.8)</f>
        <v>502.8</v>
      </c>
    </row>
    <row r="183" spans="1:8">
      <c r="A183" s="8" t="str">
        <f ca="1">IFERROR(__xludf.DUMMYFUNCTION("""COMPUTED_VALUE"""),"AS-USR-SUPPORT-OP")</f>
        <v>AS-USR-SUPPORT-OP</v>
      </c>
      <c r="B183" s="8" t="str">
        <f ca="1">IFERROR(__xludf.DUMMYFUNCTION("""COMPUTED_VALUE"""),"Annual Plan AS-USR-SUPPORT-OP")</f>
        <v>Annual Plan AS-USR-SUPPORT-OP</v>
      </c>
      <c r="C183" s="9" t="str">
        <f ca="1">IFERROR(__xludf.DUMMYFUNCTION("""COMPUTED_VALUE"""),"Support User License")</f>
        <v>Support User License</v>
      </c>
      <c r="D183" s="8" t="str">
        <f ca="1">IFERROR(__xludf.DUMMYFUNCTION("""COMPUTED_VALUE"""),"Recurring")</f>
        <v>Recurring</v>
      </c>
      <c r="E183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3" s="8" t="str">
        <f ca="1">IFERROR(__xludf.DUMMYFUNCTION("""COMPUTED_VALUE"""),"GBP")</f>
        <v>GBP</v>
      </c>
      <c r="G183" s="8">
        <f ca="1">IFERROR(__xludf.DUMMYFUNCTION("""COMPUTED_VALUE"""),41.9)</f>
        <v>41.9</v>
      </c>
      <c r="H183" s="8">
        <f ca="1">IFERROR(__xludf.DUMMYFUNCTION("""COMPUTED_VALUE"""),502.8)</f>
        <v>502.8</v>
      </c>
    </row>
    <row r="184" spans="1:8">
      <c r="A184" s="8" t="str">
        <f ca="1">IFERROR(__xludf.DUMMYFUNCTION("""COMPUTED_VALUE"""),"AS-USR-SUPPORT-PV")</f>
        <v>AS-USR-SUPPORT-PV</v>
      </c>
      <c r="B184" s="8" t="str">
        <f ca="1">IFERROR(__xludf.DUMMYFUNCTION("""COMPUTED_VALUE"""),"Monthly AS-USR-SUPPORT-PV")</f>
        <v>Monthly AS-USR-SUPPORT-PV</v>
      </c>
      <c r="C184" s="9" t="str">
        <f ca="1">IFERROR(__xludf.DUMMYFUNCTION("""COMPUTED_VALUE"""),"Support User License")</f>
        <v>Support User License</v>
      </c>
      <c r="D184" s="8" t="str">
        <f ca="1">IFERROR(__xludf.DUMMYFUNCTION("""COMPUTED_VALUE"""),"Recurring")</f>
        <v>Recurring</v>
      </c>
      <c r="E184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4" s="8" t="str">
        <f ca="1">IFERROR(__xludf.DUMMYFUNCTION("""COMPUTED_VALUE"""),"GBP")</f>
        <v>GBP</v>
      </c>
      <c r="G184" s="8">
        <f ca="1">IFERROR(__xludf.DUMMYFUNCTION("""COMPUTED_VALUE"""),25.14)</f>
        <v>25.14</v>
      </c>
      <c r="H184" s="8">
        <f ca="1">IFERROR(__xludf.DUMMYFUNCTION("""COMPUTED_VALUE"""),301.68)</f>
        <v>301.68</v>
      </c>
    </row>
    <row r="185" spans="1:8">
      <c r="A185" s="8" t="str">
        <f ca="1">IFERROR(__xludf.DUMMYFUNCTION("""COMPUTED_VALUE"""),"AS-USR-SUPPORT-PV")</f>
        <v>AS-USR-SUPPORT-PV</v>
      </c>
      <c r="B185" s="8" t="str">
        <f ca="1">IFERROR(__xludf.DUMMYFUNCTION("""COMPUTED_VALUE"""),"Prepaid Plan AS-USR-SUPPORT-PV")</f>
        <v>Prepaid Plan AS-USR-SUPPORT-PV</v>
      </c>
      <c r="C185" s="9" t="str">
        <f ca="1">IFERROR(__xludf.DUMMYFUNCTION("""COMPUTED_VALUE"""),"Support User License")</f>
        <v>Support User License</v>
      </c>
      <c r="D185" s="8" t="str">
        <f ca="1">IFERROR(__xludf.DUMMYFUNCTION("""COMPUTED_VALUE"""),"Recurring")</f>
        <v>Recurring</v>
      </c>
      <c r="E185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5" s="8" t="str">
        <f ca="1">IFERROR(__xludf.DUMMYFUNCTION("""COMPUTED_VALUE"""),"GBP")</f>
        <v>GBP</v>
      </c>
      <c r="G185" s="8">
        <f ca="1">IFERROR(__xludf.DUMMYFUNCTION("""COMPUTED_VALUE"""),20.95)</f>
        <v>20.95</v>
      </c>
      <c r="H185" s="8">
        <f ca="1">IFERROR(__xludf.DUMMYFUNCTION("""COMPUTED_VALUE"""),251.4)</f>
        <v>251.4</v>
      </c>
    </row>
    <row r="186" spans="1:8">
      <c r="A186" s="8" t="str">
        <f ca="1">IFERROR(__xludf.DUMMYFUNCTION("""COMPUTED_VALUE"""),"AS-USR-SUPPORT-PV")</f>
        <v>AS-USR-SUPPORT-PV</v>
      </c>
      <c r="B186" s="8" t="str">
        <f ca="1">IFERROR(__xludf.DUMMYFUNCTION("""COMPUTED_VALUE"""),"Custom Plan AS-USR-SUPPORT-PV")</f>
        <v>Custom Plan AS-USR-SUPPORT-PV</v>
      </c>
      <c r="C186" s="9" t="str">
        <f ca="1">IFERROR(__xludf.DUMMYFUNCTION("""COMPUTED_VALUE"""),"Support User License")</f>
        <v>Support User License</v>
      </c>
      <c r="D186" s="8" t="str">
        <f ca="1">IFERROR(__xludf.DUMMYFUNCTION("""COMPUTED_VALUE"""),"Recurring")</f>
        <v>Recurring</v>
      </c>
      <c r="E18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6" s="8" t="str">
        <f ca="1">IFERROR(__xludf.DUMMYFUNCTION("""COMPUTED_VALUE"""),"GBP")</f>
        <v>GBP</v>
      </c>
      <c r="G186" s="8">
        <f ca="1">IFERROR(__xludf.DUMMYFUNCTION("""COMPUTED_VALUE"""),20.95)</f>
        <v>20.95</v>
      </c>
      <c r="H186" s="8">
        <f ca="1">IFERROR(__xludf.DUMMYFUNCTION("""COMPUTED_VALUE"""),251.4)</f>
        <v>251.4</v>
      </c>
    </row>
    <row r="187" spans="1:8">
      <c r="A187" s="8" t="str">
        <f ca="1">IFERROR(__xludf.DUMMYFUNCTION("""COMPUTED_VALUE"""),"AS-USR-SUPPORT-PV")</f>
        <v>AS-USR-SUPPORT-PV</v>
      </c>
      <c r="B187" s="8" t="str">
        <f ca="1">IFERROR(__xludf.DUMMYFUNCTION("""COMPUTED_VALUE"""),"Annual Plan AS-USR-SUPPORT-PV")</f>
        <v>Annual Plan AS-USR-SUPPORT-PV</v>
      </c>
      <c r="C187" s="9" t="str">
        <f ca="1">IFERROR(__xludf.DUMMYFUNCTION("""COMPUTED_VALUE"""),"Support User License")</f>
        <v>Support User License</v>
      </c>
      <c r="D187" s="8" t="str">
        <f ca="1">IFERROR(__xludf.DUMMYFUNCTION("""COMPUTED_VALUE"""),"Recurring")</f>
        <v>Recurring</v>
      </c>
      <c r="E18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7" s="8" t="str">
        <f ca="1">IFERROR(__xludf.DUMMYFUNCTION("""COMPUTED_VALUE"""),"GBP")</f>
        <v>GBP</v>
      </c>
      <c r="G187" s="8">
        <f ca="1">IFERROR(__xludf.DUMMYFUNCTION("""COMPUTED_VALUE"""),20.95)</f>
        <v>20.95</v>
      </c>
      <c r="H187" s="10">
        <f ca="1">IFERROR(__xludf.DUMMYFUNCTION("""COMPUTED_VALUE"""),251.4)</f>
        <v>251.4</v>
      </c>
    </row>
    <row r="188" spans="1:8">
      <c r="A188" s="8" t="str">
        <f ca="1">IFERROR(__xludf.DUMMYFUNCTION("""COMPUTED_VALUE"""),"BZ-SVC-MCS")</f>
        <v>BZ-SVC-MCS</v>
      </c>
      <c r="B188" s="8" t="str">
        <f ca="1">IFERROR(__xludf.DUMMYFUNCTION("""COMPUTED_VALUE"""),"Annual Plan BZ-SVC-MCS")</f>
        <v>Annual Plan BZ-SVC-MCS</v>
      </c>
      <c r="C188" s="9" t="str">
        <f ca="1">IFERROR(__xludf.DUMMYFUNCTION("""COMPUTED_VALUE"""),"Managed Custom Solutions")</f>
        <v>Managed Custom Solutions</v>
      </c>
      <c r="D188" s="8" t="str">
        <f ca="1">IFERROR(__xludf.DUMMYFUNCTION("""COMPUTED_VALUE"""),"Recurring")</f>
        <v>Recurring</v>
      </c>
      <c r="E188" s="9" t="str">
        <f ca="1">IFERROR(__xludf.DUMMYFUNCTION("""COMPUTED_VALUE"""),"Enhanced Services Managed Custom Solutions")</f>
        <v>Enhanced Services Managed Custom Solutions</v>
      </c>
      <c r="F188" s="8" t="str">
        <f ca="1">IFERROR(__xludf.DUMMYFUNCTION("""COMPUTED_VALUE"""),"GBP")</f>
        <v>GBP</v>
      </c>
      <c r="G188" s="8">
        <f ca="1">IFERROR(__xludf.DUMMYFUNCTION("""COMPUTED_VALUE"""),838)</f>
        <v>838</v>
      </c>
      <c r="H188" s="10">
        <f ca="1">IFERROR(__xludf.DUMMYFUNCTION("""COMPUTED_VALUE"""),10056)</f>
        <v>10056</v>
      </c>
    </row>
    <row r="189" spans="1:8">
      <c r="C189" s="9"/>
      <c r="E189" s="9"/>
    </row>
    <row r="190" spans="1:8">
      <c r="C190" s="9"/>
      <c r="E190" s="9"/>
    </row>
    <row r="191" spans="1:8">
      <c r="C191" s="9"/>
      <c r="E191" s="9"/>
    </row>
    <row r="192" spans="1:8">
      <c r="C192" s="9"/>
      <c r="E192" s="9"/>
    </row>
    <row r="193" spans="3:5">
      <c r="C193" s="9"/>
      <c r="E193" s="9"/>
    </row>
    <row r="194" spans="3:5">
      <c r="C194" s="9"/>
      <c r="E194" s="9"/>
    </row>
    <row r="195" spans="3:5">
      <c r="C195" s="9"/>
      <c r="E195" s="9"/>
    </row>
    <row r="196" spans="3:5">
      <c r="C196" s="9"/>
      <c r="E196" s="9"/>
    </row>
    <row r="197" spans="3:5">
      <c r="C197" s="9"/>
      <c r="E197" s="9"/>
    </row>
    <row r="198" spans="3:5">
      <c r="C198" s="9"/>
      <c r="E198" s="9"/>
    </row>
    <row r="199" spans="3:5">
      <c r="C199" s="9"/>
      <c r="E199" s="9"/>
    </row>
    <row r="200" spans="3:5">
      <c r="C200" s="9"/>
      <c r="E200" s="9"/>
    </row>
    <row r="201" spans="3:5">
      <c r="C201" s="9"/>
      <c r="E201" s="9"/>
    </row>
    <row r="202" spans="3:5">
      <c r="C202" s="9"/>
      <c r="E202" s="9"/>
    </row>
    <row r="203" spans="3:5">
      <c r="C203" s="9"/>
      <c r="E203" s="9"/>
    </row>
    <row r="204" spans="3:5">
      <c r="C204" s="9"/>
      <c r="E204" s="9"/>
    </row>
    <row r="205" spans="3:5">
      <c r="C205" s="9"/>
      <c r="E205" s="9"/>
    </row>
    <row r="206" spans="3:5">
      <c r="C206" s="9"/>
      <c r="E206" s="9"/>
    </row>
    <row r="207" spans="3:5">
      <c r="C207" s="9"/>
      <c r="E207" s="9"/>
    </row>
    <row r="208" spans="3:5">
      <c r="C208" s="9"/>
      <c r="E208" s="9"/>
    </row>
    <row r="209" spans="3:5">
      <c r="C209" s="9"/>
      <c r="E209" s="9"/>
    </row>
    <row r="210" spans="3:5">
      <c r="C210" s="9"/>
      <c r="E210" s="9"/>
    </row>
    <row r="211" spans="3:5">
      <c r="C211" s="9"/>
      <c r="E211" s="9"/>
    </row>
    <row r="212" spans="3:5">
      <c r="C212" s="9"/>
      <c r="E212" s="9"/>
    </row>
    <row r="213" spans="3:5">
      <c r="C213" s="9"/>
      <c r="E213" s="9"/>
    </row>
    <row r="214" spans="3:5">
      <c r="C214" s="9"/>
      <c r="E214" s="9"/>
    </row>
    <row r="215" spans="3:5">
      <c r="C215" s="9"/>
      <c r="E215" s="9"/>
    </row>
    <row r="216" spans="3:5">
      <c r="C216" s="9"/>
      <c r="E216" s="9"/>
    </row>
    <row r="217" spans="3:5">
      <c r="C217" s="9"/>
      <c r="E217" s="9"/>
    </row>
    <row r="218" spans="3:5">
      <c r="C218" s="9"/>
      <c r="E218" s="9"/>
    </row>
    <row r="219" spans="3:5">
      <c r="C219" s="9"/>
      <c r="E219" s="9"/>
    </row>
    <row r="220" spans="3:5">
      <c r="C220" s="9"/>
      <c r="E220" s="9"/>
    </row>
    <row r="221" spans="3:5">
      <c r="C221" s="9"/>
      <c r="E221" s="9"/>
    </row>
    <row r="222" spans="3:5">
      <c r="C222" s="9"/>
      <c r="E222" s="9"/>
    </row>
    <row r="223" spans="3:5">
      <c r="C223" s="9"/>
      <c r="E223" s="9"/>
    </row>
    <row r="224" spans="3:5">
      <c r="C224" s="9"/>
      <c r="E224" s="9"/>
    </row>
    <row r="225" spans="3:5">
      <c r="C225" s="9"/>
      <c r="E225" s="9"/>
    </row>
    <row r="226" spans="3:5">
      <c r="C226" s="9"/>
      <c r="E226" s="9"/>
    </row>
    <row r="227" spans="3:5">
      <c r="C227" s="9"/>
      <c r="E227" s="9"/>
    </row>
    <row r="228" spans="3:5">
      <c r="C228" s="9"/>
      <c r="E228" s="9"/>
    </row>
    <row r="229" spans="3:5">
      <c r="C229" s="9"/>
      <c r="E229" s="9"/>
    </row>
    <row r="230" spans="3:5">
      <c r="C230" s="9"/>
      <c r="E230" s="9"/>
    </row>
    <row r="231" spans="3:5">
      <c r="C231" s="9"/>
      <c r="E231" s="9"/>
    </row>
    <row r="232" spans="3:5">
      <c r="C232" s="9"/>
      <c r="E232" s="9"/>
    </row>
    <row r="233" spans="3:5">
      <c r="C233" s="9"/>
      <c r="E233" s="9"/>
    </row>
    <row r="234" spans="3:5">
      <c r="C234" s="9"/>
      <c r="E234" s="9"/>
    </row>
    <row r="235" spans="3:5">
      <c r="C235" s="9"/>
      <c r="E235" s="9"/>
    </row>
    <row r="236" spans="3:5">
      <c r="C236" s="9"/>
      <c r="E236" s="9"/>
    </row>
    <row r="237" spans="3:5">
      <c r="C237" s="9"/>
      <c r="E237" s="9"/>
    </row>
    <row r="238" spans="3:5">
      <c r="C238" s="9"/>
      <c r="E238" s="9"/>
    </row>
    <row r="239" spans="3:5">
      <c r="C239" s="9"/>
      <c r="E239" s="9"/>
    </row>
    <row r="240" spans="3:5">
      <c r="C240" s="9"/>
      <c r="E240" s="9"/>
    </row>
    <row r="241" spans="3:5">
      <c r="C241" s="9"/>
      <c r="E241" s="9"/>
    </row>
    <row r="242" spans="3:5">
      <c r="C242" s="9"/>
      <c r="E242" s="9"/>
    </row>
    <row r="243" spans="3:5">
      <c r="C243" s="9"/>
      <c r="E243" s="9"/>
    </row>
    <row r="244" spans="3:5">
      <c r="C244" s="9"/>
      <c r="E244" s="9"/>
    </row>
    <row r="245" spans="3:5">
      <c r="C245" s="9"/>
      <c r="E245" s="9"/>
    </row>
    <row r="246" spans="3:5">
      <c r="C246" s="9"/>
      <c r="E246" s="9"/>
    </row>
    <row r="247" spans="3:5">
      <c r="C247" s="9"/>
      <c r="E247" s="9"/>
    </row>
    <row r="248" spans="3:5">
      <c r="C248" s="9"/>
      <c r="E248" s="9"/>
    </row>
    <row r="249" spans="3:5">
      <c r="C249" s="9"/>
      <c r="E249" s="9"/>
    </row>
    <row r="250" spans="3:5">
      <c r="C250" s="9"/>
      <c r="E250" s="9"/>
    </row>
    <row r="251" spans="3:5">
      <c r="C251" s="9"/>
      <c r="E251" s="9"/>
    </row>
    <row r="252" spans="3:5">
      <c r="C252" s="9"/>
      <c r="E252" s="9"/>
    </row>
    <row r="253" spans="3:5">
      <c r="C253" s="9"/>
      <c r="E253" s="9"/>
    </row>
    <row r="254" spans="3:5">
      <c r="C254" s="9"/>
      <c r="E254" s="9"/>
    </row>
    <row r="255" spans="3:5">
      <c r="C255" s="9"/>
      <c r="E255" s="9"/>
    </row>
    <row r="256" spans="3:5">
      <c r="C256" s="9"/>
      <c r="E256" s="9"/>
    </row>
    <row r="257" spans="3:5">
      <c r="C257" s="9"/>
      <c r="E257" s="9"/>
    </row>
    <row r="258" spans="3:5">
      <c r="C258" s="9"/>
      <c r="E258" s="9"/>
    </row>
    <row r="259" spans="3:5">
      <c r="C259" s="9"/>
      <c r="E259" s="9"/>
    </row>
    <row r="260" spans="3:5">
      <c r="C260" s="9"/>
      <c r="E260" s="9"/>
    </row>
    <row r="261" spans="3:5">
      <c r="C261" s="9"/>
      <c r="E261" s="9"/>
    </row>
    <row r="262" spans="3:5">
      <c r="C262" s="9"/>
      <c r="E262" s="9"/>
    </row>
    <row r="263" spans="3:5">
      <c r="C263" s="9"/>
      <c r="E263" s="9"/>
    </row>
    <row r="264" spans="3:5">
      <c r="C264" s="9"/>
      <c r="E264" s="9"/>
    </row>
    <row r="265" spans="3:5">
      <c r="C265" s="9"/>
      <c r="E265" s="9"/>
    </row>
    <row r="266" spans="3:5">
      <c r="C266" s="9"/>
      <c r="E266" s="9"/>
    </row>
    <row r="267" spans="3:5">
      <c r="C267" s="9"/>
      <c r="E267" s="9"/>
    </row>
    <row r="268" spans="3:5">
      <c r="C268" s="9"/>
      <c r="E268" s="9"/>
    </row>
    <row r="269" spans="3:5">
      <c r="C269" s="9"/>
      <c r="E269" s="9"/>
    </row>
    <row r="270" spans="3:5">
      <c r="C270" s="9"/>
      <c r="E270" s="9"/>
    </row>
    <row r="271" spans="3:5">
      <c r="C271" s="9"/>
      <c r="E271" s="9"/>
    </row>
    <row r="272" spans="3:5">
      <c r="C272" s="9"/>
      <c r="E272" s="9"/>
    </row>
    <row r="273" spans="3:5">
      <c r="C273" s="9"/>
      <c r="E273" s="9"/>
    </row>
    <row r="274" spans="3:5">
      <c r="C274" s="9"/>
      <c r="E274" s="9"/>
    </row>
    <row r="275" spans="3:5">
      <c r="C275" s="9"/>
      <c r="E275" s="9"/>
    </row>
    <row r="276" spans="3:5">
      <c r="C276" s="9"/>
      <c r="E276" s="9"/>
    </row>
    <row r="277" spans="3:5">
      <c r="C277" s="9"/>
      <c r="E277" s="9"/>
    </row>
    <row r="278" spans="3:5">
      <c r="C278" s="9"/>
      <c r="E278" s="9"/>
    </row>
    <row r="279" spans="3:5">
      <c r="C279" s="9"/>
      <c r="E279" s="9"/>
    </row>
    <row r="280" spans="3:5">
      <c r="C280" s="9"/>
      <c r="E280" s="9"/>
    </row>
    <row r="281" spans="3:5">
      <c r="C281" s="9"/>
      <c r="E281" s="9"/>
    </row>
    <row r="282" spans="3:5">
      <c r="C282" s="9"/>
      <c r="E282" s="9"/>
    </row>
    <row r="283" spans="3:5">
      <c r="C283" s="9"/>
      <c r="E283" s="9"/>
    </row>
    <row r="284" spans="3:5">
      <c r="C284" s="9"/>
      <c r="E284" s="9"/>
    </row>
    <row r="285" spans="3:5">
      <c r="C285" s="9"/>
      <c r="E285" s="9"/>
    </row>
    <row r="286" spans="3:5">
      <c r="C286" s="9"/>
      <c r="E286" s="9"/>
    </row>
    <row r="287" spans="3:5">
      <c r="C287" s="9"/>
      <c r="E287" s="9"/>
    </row>
    <row r="288" spans="3:5">
      <c r="C288" s="9"/>
      <c r="E288" s="9"/>
    </row>
    <row r="289" spans="3:5">
      <c r="C289" s="9"/>
      <c r="E289" s="9"/>
    </row>
    <row r="290" spans="3:5">
      <c r="C290" s="9"/>
      <c r="E290" s="9"/>
    </row>
    <row r="291" spans="3:5">
      <c r="C291" s="9"/>
      <c r="E291" s="9"/>
    </row>
    <row r="292" spans="3:5">
      <c r="C292" s="9"/>
      <c r="E292" s="9"/>
    </row>
    <row r="293" spans="3:5">
      <c r="C293" s="9"/>
      <c r="E293" s="9"/>
    </row>
    <row r="294" spans="3:5">
      <c r="C294" s="9"/>
      <c r="E294" s="9"/>
    </row>
    <row r="295" spans="3:5">
      <c r="C295" s="9"/>
      <c r="E295" s="9"/>
    </row>
    <row r="296" spans="3:5">
      <c r="C296" s="9"/>
      <c r="E296" s="9"/>
    </row>
    <row r="297" spans="3:5">
      <c r="C297" s="9"/>
      <c r="E297" s="9"/>
    </row>
    <row r="298" spans="3:5">
      <c r="C298" s="9"/>
      <c r="E298" s="9"/>
    </row>
    <row r="299" spans="3:5">
      <c r="C299" s="9"/>
      <c r="E299" s="9"/>
    </row>
    <row r="300" spans="3:5">
      <c r="C300" s="9"/>
      <c r="E300" s="9"/>
    </row>
    <row r="301" spans="3:5">
      <c r="C301" s="9"/>
      <c r="E301" s="9"/>
    </row>
    <row r="302" spans="3:5">
      <c r="C302" s="9"/>
      <c r="E302" s="9"/>
    </row>
    <row r="303" spans="3:5">
      <c r="C303" s="9"/>
      <c r="E303" s="9"/>
    </row>
    <row r="304" spans="3:5">
      <c r="C304" s="9"/>
      <c r="E304" s="9"/>
    </row>
    <row r="305" spans="3:5">
      <c r="C305" s="9"/>
      <c r="E305" s="9"/>
    </row>
    <row r="306" spans="3:5">
      <c r="C306" s="9"/>
      <c r="E306" s="9"/>
    </row>
    <row r="307" spans="3:5">
      <c r="C307" s="9"/>
      <c r="E307" s="9"/>
    </row>
    <row r="308" spans="3:5">
      <c r="C308" s="9"/>
      <c r="E308" s="9"/>
    </row>
    <row r="309" spans="3:5">
      <c r="C309" s="9"/>
      <c r="E309" s="9"/>
    </row>
    <row r="310" spans="3:5">
      <c r="C310" s="9"/>
      <c r="E310" s="9"/>
    </row>
    <row r="311" spans="3:5">
      <c r="C311" s="9"/>
      <c r="E311" s="9"/>
    </row>
    <row r="312" spans="3:5">
      <c r="C312" s="9"/>
      <c r="E312" s="9"/>
    </row>
    <row r="313" spans="3:5">
      <c r="C313" s="9"/>
      <c r="E313" s="9"/>
    </row>
    <row r="314" spans="3:5">
      <c r="C314" s="9"/>
      <c r="E314" s="9"/>
    </row>
    <row r="315" spans="3:5">
      <c r="C315" s="9"/>
      <c r="E315" s="9"/>
    </row>
    <row r="316" spans="3:5">
      <c r="C316" s="9"/>
      <c r="E316" s="9"/>
    </row>
    <row r="317" spans="3:5">
      <c r="C317" s="9"/>
      <c r="E317" s="9"/>
    </row>
    <row r="318" spans="3:5">
      <c r="C318" s="9"/>
      <c r="E318" s="9"/>
    </row>
    <row r="319" spans="3:5">
      <c r="C319" s="9"/>
      <c r="E319" s="9"/>
    </row>
    <row r="320" spans="3:5">
      <c r="C320" s="9"/>
      <c r="E320" s="9"/>
    </row>
    <row r="321" spans="3:5">
      <c r="C321" s="9"/>
      <c r="E321" s="9"/>
    </row>
    <row r="322" spans="3:5">
      <c r="C322" s="9"/>
      <c r="E322" s="9"/>
    </row>
    <row r="323" spans="3:5">
      <c r="C323" s="9"/>
      <c r="E323" s="9"/>
    </row>
    <row r="324" spans="3:5">
      <c r="C324" s="9"/>
      <c r="E324" s="9"/>
    </row>
    <row r="325" spans="3:5">
      <c r="C325" s="9"/>
      <c r="E325" s="9"/>
    </row>
    <row r="326" spans="3:5">
      <c r="C326" s="9"/>
      <c r="E326" s="9"/>
    </row>
    <row r="327" spans="3:5">
      <c r="C327" s="9"/>
      <c r="E327" s="9"/>
    </row>
    <row r="328" spans="3:5">
      <c r="C328" s="9"/>
      <c r="E328" s="9"/>
    </row>
    <row r="329" spans="3:5">
      <c r="C329" s="9"/>
      <c r="E329" s="9"/>
    </row>
    <row r="330" spans="3:5">
      <c r="C330" s="9"/>
      <c r="E330" s="9"/>
    </row>
    <row r="331" spans="3:5">
      <c r="C331" s="9"/>
      <c r="E331" s="9"/>
    </row>
    <row r="332" spans="3:5">
      <c r="C332" s="9"/>
      <c r="E332" s="9"/>
    </row>
    <row r="333" spans="3:5">
      <c r="C333" s="9"/>
      <c r="E333" s="9"/>
    </row>
    <row r="334" spans="3:5">
      <c r="C334" s="9"/>
      <c r="E334" s="9"/>
    </row>
    <row r="335" spans="3:5">
      <c r="C335" s="9"/>
      <c r="E335" s="9"/>
    </row>
    <row r="336" spans="3:5">
      <c r="C336" s="9"/>
      <c r="E336" s="9"/>
    </row>
    <row r="337" spans="3:5">
      <c r="C337" s="9"/>
      <c r="E337" s="9"/>
    </row>
    <row r="338" spans="3:5">
      <c r="C338" s="9"/>
      <c r="E338" s="9"/>
    </row>
    <row r="339" spans="3:5">
      <c r="C339" s="9"/>
      <c r="E339" s="9"/>
    </row>
    <row r="340" spans="3:5">
      <c r="C340" s="9"/>
      <c r="E340" s="9"/>
    </row>
    <row r="341" spans="3:5">
      <c r="C341" s="9"/>
      <c r="E341" s="9"/>
    </row>
    <row r="342" spans="3:5">
      <c r="C342" s="9"/>
      <c r="E342" s="9"/>
    </row>
    <row r="343" spans="3:5">
      <c r="C343" s="9"/>
      <c r="E343" s="9"/>
    </row>
    <row r="344" spans="3:5">
      <c r="C344" s="9"/>
      <c r="E344" s="9"/>
    </row>
    <row r="345" spans="3:5">
      <c r="C345" s="9"/>
      <c r="E345" s="9"/>
    </row>
    <row r="346" spans="3:5">
      <c r="C346" s="9"/>
      <c r="E346" s="9"/>
    </row>
    <row r="347" spans="3:5">
      <c r="C347" s="9"/>
      <c r="E347" s="9"/>
    </row>
    <row r="348" spans="3:5">
      <c r="C348" s="9"/>
      <c r="E348" s="9"/>
    </row>
    <row r="349" spans="3:5">
      <c r="C349" s="9"/>
      <c r="E349" s="9"/>
    </row>
    <row r="350" spans="3:5">
      <c r="C350" s="9"/>
      <c r="E350" s="9"/>
    </row>
    <row r="351" spans="3:5">
      <c r="C351" s="9"/>
      <c r="E351" s="9"/>
    </row>
    <row r="352" spans="3:5">
      <c r="C352" s="9"/>
      <c r="E352" s="9"/>
    </row>
    <row r="353" spans="3:5">
      <c r="C353" s="9"/>
      <c r="E353" s="9"/>
    </row>
    <row r="354" spans="3:5">
      <c r="C354" s="9"/>
      <c r="E354" s="9"/>
    </row>
    <row r="355" spans="3:5">
      <c r="C355" s="9"/>
      <c r="E355" s="9"/>
    </row>
    <row r="356" spans="3:5">
      <c r="C356" s="9"/>
      <c r="E356" s="9"/>
    </row>
    <row r="357" spans="3:5">
      <c r="C357" s="9"/>
      <c r="E357" s="9"/>
    </row>
    <row r="358" spans="3:5">
      <c r="C358" s="9"/>
      <c r="E358" s="9"/>
    </row>
    <row r="359" spans="3:5">
      <c r="C359" s="9"/>
      <c r="E359" s="9"/>
    </row>
    <row r="360" spans="3:5">
      <c r="C360" s="9"/>
      <c r="E360" s="9"/>
    </row>
    <row r="361" spans="3:5">
      <c r="C361" s="9"/>
      <c r="E361" s="9"/>
    </row>
    <row r="362" spans="3:5">
      <c r="C362" s="9"/>
      <c r="E362" s="9"/>
    </row>
    <row r="363" spans="3:5">
      <c r="C363" s="9"/>
      <c r="E363" s="9"/>
    </row>
    <row r="364" spans="3:5">
      <c r="C364" s="9"/>
      <c r="E364" s="9"/>
    </row>
    <row r="365" spans="3:5">
      <c r="C365" s="9"/>
      <c r="E365" s="9"/>
    </row>
    <row r="366" spans="3:5">
      <c r="C366" s="9"/>
      <c r="E366" s="9"/>
    </row>
    <row r="367" spans="3:5">
      <c r="C367" s="9"/>
      <c r="E367" s="9"/>
    </row>
    <row r="368" spans="3:5">
      <c r="C368" s="9"/>
      <c r="E368" s="9"/>
    </row>
    <row r="369" spans="3:5">
      <c r="C369" s="9"/>
      <c r="E369" s="9"/>
    </row>
    <row r="370" spans="3:5">
      <c r="C370" s="9"/>
      <c r="E370" s="9"/>
    </row>
    <row r="371" spans="3:5">
      <c r="C371" s="9"/>
      <c r="E371" s="9"/>
    </row>
    <row r="372" spans="3:5">
      <c r="C372" s="9"/>
      <c r="E372" s="9"/>
    </row>
    <row r="373" spans="3:5">
      <c r="C373" s="9"/>
      <c r="E373" s="9"/>
    </row>
    <row r="374" spans="3:5">
      <c r="C374" s="9"/>
      <c r="E374" s="9"/>
    </row>
    <row r="375" spans="3:5">
      <c r="C375" s="9"/>
      <c r="E375" s="9"/>
    </row>
    <row r="376" spans="3:5">
      <c r="C376" s="9"/>
      <c r="E376" s="9"/>
    </row>
    <row r="377" spans="3:5">
      <c r="C377" s="9"/>
      <c r="E377" s="9"/>
    </row>
    <row r="378" spans="3:5">
      <c r="C378" s="9"/>
      <c r="E378" s="9"/>
    </row>
    <row r="379" spans="3:5">
      <c r="C379" s="9"/>
      <c r="E379" s="9"/>
    </row>
    <row r="380" spans="3:5">
      <c r="C380" s="9"/>
      <c r="E380" s="9"/>
    </row>
    <row r="381" spans="3:5">
      <c r="C381" s="9"/>
      <c r="E381" s="9"/>
    </row>
    <row r="382" spans="3:5">
      <c r="C382" s="9"/>
      <c r="E382" s="9"/>
    </row>
    <row r="383" spans="3:5">
      <c r="C383" s="9"/>
      <c r="E383" s="9"/>
    </row>
    <row r="384" spans="3:5">
      <c r="C384" s="9"/>
      <c r="E384" s="9"/>
    </row>
    <row r="385" spans="3:5">
      <c r="C385" s="9"/>
      <c r="E385" s="9"/>
    </row>
    <row r="386" spans="3:5">
      <c r="C386" s="9"/>
      <c r="E386" s="9"/>
    </row>
    <row r="387" spans="3:5">
      <c r="C387" s="9"/>
      <c r="E387" s="9"/>
    </row>
    <row r="388" spans="3:5">
      <c r="C388" s="9"/>
      <c r="E388" s="9"/>
    </row>
    <row r="389" spans="3:5">
      <c r="C389" s="9"/>
      <c r="E389" s="9"/>
    </row>
    <row r="390" spans="3:5">
      <c r="C390" s="9"/>
      <c r="E390" s="9"/>
    </row>
    <row r="391" spans="3:5">
      <c r="C391" s="9"/>
      <c r="E391" s="9"/>
    </row>
    <row r="392" spans="3:5">
      <c r="C392" s="9"/>
      <c r="E392" s="9"/>
    </row>
    <row r="393" spans="3:5">
      <c r="C393" s="9"/>
      <c r="E393" s="9"/>
    </row>
    <row r="394" spans="3:5">
      <c r="C394" s="9"/>
      <c r="E394" s="9"/>
    </row>
    <row r="395" spans="3:5">
      <c r="C395" s="9"/>
      <c r="E395" s="9"/>
    </row>
    <row r="396" spans="3:5">
      <c r="C396" s="9"/>
      <c r="E396" s="9"/>
    </row>
    <row r="397" spans="3:5">
      <c r="C397" s="9"/>
      <c r="E397" s="9"/>
    </row>
    <row r="398" spans="3:5">
      <c r="C398" s="9"/>
      <c r="E398" s="9"/>
    </row>
    <row r="399" spans="3:5">
      <c r="C399" s="9"/>
      <c r="E399" s="9"/>
    </row>
    <row r="400" spans="3:5">
      <c r="C400" s="9"/>
      <c r="E400" s="9"/>
    </row>
    <row r="401" spans="3:5">
      <c r="C401" s="9"/>
      <c r="E401" s="9"/>
    </row>
    <row r="402" spans="3:5">
      <c r="C402" s="9"/>
      <c r="E402" s="9"/>
    </row>
    <row r="403" spans="3:5">
      <c r="C403" s="9"/>
      <c r="E403" s="9"/>
    </row>
    <row r="404" spans="3:5">
      <c r="C404" s="9"/>
      <c r="E404" s="9"/>
    </row>
    <row r="405" spans="3:5">
      <c r="C405" s="9"/>
      <c r="E405" s="9"/>
    </row>
    <row r="406" spans="3:5">
      <c r="C406" s="9"/>
      <c r="E406" s="9"/>
    </row>
    <row r="407" spans="3:5">
      <c r="C407" s="9"/>
      <c r="E407" s="9"/>
    </row>
    <row r="408" spans="3:5">
      <c r="C408" s="9"/>
      <c r="E408" s="9"/>
    </row>
    <row r="409" spans="3:5">
      <c r="C409" s="9"/>
      <c r="E409" s="9"/>
    </row>
    <row r="410" spans="3:5">
      <c r="C410" s="9"/>
      <c r="E410" s="9"/>
    </row>
    <row r="411" spans="3:5">
      <c r="C411" s="9"/>
      <c r="E411" s="9"/>
    </row>
    <row r="412" spans="3:5">
      <c r="C412" s="9"/>
      <c r="E412" s="9"/>
    </row>
    <row r="413" spans="3:5">
      <c r="C413" s="9"/>
      <c r="E413" s="9"/>
    </row>
    <row r="414" spans="3:5">
      <c r="C414" s="9"/>
      <c r="E414" s="9"/>
    </row>
    <row r="415" spans="3:5">
      <c r="C415" s="9"/>
      <c r="E415" s="9"/>
    </row>
    <row r="416" spans="3:5">
      <c r="C416" s="9"/>
      <c r="E416" s="9"/>
    </row>
    <row r="417" spans="3:5">
      <c r="C417" s="9"/>
      <c r="E417" s="9"/>
    </row>
    <row r="418" spans="3:5">
      <c r="C418" s="9"/>
      <c r="E418" s="9"/>
    </row>
    <row r="419" spans="3:5">
      <c r="C419" s="9"/>
      <c r="E419" s="9"/>
    </row>
    <row r="420" spans="3:5">
      <c r="C420" s="9"/>
      <c r="E420" s="9"/>
    </row>
    <row r="421" spans="3:5">
      <c r="C421" s="9"/>
      <c r="E421" s="9"/>
    </row>
    <row r="422" spans="3:5">
      <c r="C422" s="9"/>
      <c r="E422" s="9"/>
    </row>
    <row r="423" spans="3:5">
      <c r="C423" s="9"/>
      <c r="E423" s="9"/>
    </row>
    <row r="424" spans="3:5">
      <c r="C424" s="9"/>
      <c r="E424" s="9"/>
    </row>
    <row r="425" spans="3:5">
      <c r="C425" s="9"/>
      <c r="E425" s="9"/>
    </row>
    <row r="426" spans="3:5">
      <c r="C426" s="9"/>
      <c r="E426" s="9"/>
    </row>
    <row r="427" spans="3:5">
      <c r="C427" s="9"/>
      <c r="E427" s="9"/>
    </row>
    <row r="428" spans="3:5">
      <c r="C428" s="9"/>
      <c r="E428" s="9"/>
    </row>
    <row r="429" spans="3:5">
      <c r="C429" s="9"/>
      <c r="E429" s="9"/>
    </row>
    <row r="430" spans="3:5">
      <c r="C430" s="9"/>
      <c r="E430" s="9"/>
    </row>
    <row r="431" spans="3:5">
      <c r="C431" s="9"/>
      <c r="E431" s="9"/>
    </row>
    <row r="432" spans="3:5">
      <c r="C432" s="9"/>
      <c r="E432" s="9"/>
    </row>
    <row r="433" spans="3:5">
      <c r="C433" s="9"/>
      <c r="E433" s="9"/>
    </row>
    <row r="434" spans="3:5">
      <c r="C434" s="9"/>
      <c r="E434" s="9"/>
    </row>
    <row r="435" spans="3:5">
      <c r="C435" s="9"/>
      <c r="E435" s="9"/>
    </row>
    <row r="436" spans="3:5">
      <c r="C436" s="9"/>
      <c r="E436" s="9"/>
    </row>
    <row r="437" spans="3:5">
      <c r="C437" s="9"/>
      <c r="E437" s="9"/>
    </row>
    <row r="438" spans="3:5">
      <c r="C438" s="9"/>
      <c r="E438" s="9"/>
    </row>
    <row r="439" spans="3:5">
      <c r="C439" s="9"/>
      <c r="E439" s="9"/>
    </row>
    <row r="440" spans="3:5">
      <c r="C440" s="9"/>
      <c r="E440" s="9"/>
    </row>
    <row r="441" spans="3:5">
      <c r="C441" s="9"/>
      <c r="E441" s="9"/>
    </row>
    <row r="442" spans="3:5">
      <c r="C442" s="9"/>
      <c r="E442" s="9"/>
    </row>
    <row r="443" spans="3:5">
      <c r="C443" s="9"/>
      <c r="E443" s="9"/>
    </row>
    <row r="444" spans="3:5">
      <c r="C444" s="9"/>
      <c r="E444" s="9"/>
    </row>
    <row r="445" spans="3:5">
      <c r="C445" s="9"/>
      <c r="E445" s="9"/>
    </row>
    <row r="446" spans="3:5">
      <c r="C446" s="9"/>
      <c r="E446" s="9"/>
    </row>
    <row r="447" spans="3:5">
      <c r="C447" s="9"/>
      <c r="E447" s="9"/>
    </row>
    <row r="448" spans="3:5">
      <c r="C448" s="9"/>
      <c r="E448" s="9"/>
    </row>
    <row r="449" spans="3:5">
      <c r="C449" s="9"/>
      <c r="E449" s="9"/>
    </row>
    <row r="450" spans="3:5">
      <c r="C450" s="9"/>
      <c r="E450" s="9"/>
    </row>
    <row r="451" spans="3:5">
      <c r="C451" s="9"/>
      <c r="E451" s="9"/>
    </row>
    <row r="452" spans="3:5">
      <c r="C452" s="9"/>
      <c r="E452" s="9"/>
    </row>
    <row r="453" spans="3:5">
      <c r="C453" s="9"/>
      <c r="E453" s="9"/>
    </row>
    <row r="454" spans="3:5">
      <c r="C454" s="9"/>
      <c r="E454" s="9"/>
    </row>
    <row r="455" spans="3:5">
      <c r="C455" s="9"/>
      <c r="E455" s="9"/>
    </row>
    <row r="456" spans="3:5">
      <c r="C456" s="9"/>
      <c r="E456" s="9"/>
    </row>
    <row r="457" spans="3:5">
      <c r="C457" s="9"/>
      <c r="E457" s="9"/>
    </row>
    <row r="458" spans="3:5">
      <c r="C458" s="9"/>
      <c r="E458" s="9"/>
    </row>
    <row r="459" spans="3:5">
      <c r="C459" s="9"/>
      <c r="E459" s="9"/>
    </row>
    <row r="460" spans="3:5">
      <c r="C460" s="9"/>
      <c r="E460" s="9"/>
    </row>
    <row r="461" spans="3:5">
      <c r="C461" s="9"/>
      <c r="E461" s="9"/>
    </row>
    <row r="462" spans="3:5">
      <c r="C462" s="9"/>
      <c r="E462" s="9"/>
    </row>
    <row r="463" spans="3:5">
      <c r="C463" s="9"/>
      <c r="E463" s="9"/>
    </row>
    <row r="464" spans="3:5">
      <c r="C464" s="9"/>
      <c r="E464" s="9"/>
    </row>
    <row r="465" spans="3:5">
      <c r="C465" s="9"/>
      <c r="E465" s="9"/>
    </row>
    <row r="466" spans="3:5">
      <c r="C466" s="9"/>
      <c r="E466" s="9"/>
    </row>
    <row r="467" spans="3:5">
      <c r="C467" s="9"/>
      <c r="E467" s="9"/>
    </row>
    <row r="468" spans="3:5">
      <c r="C468" s="9"/>
      <c r="E468" s="9"/>
    </row>
    <row r="469" spans="3:5">
      <c r="C469" s="9"/>
      <c r="E469" s="9"/>
    </row>
    <row r="470" spans="3:5">
      <c r="C470" s="9"/>
      <c r="E470" s="9"/>
    </row>
    <row r="471" spans="3:5">
      <c r="C471" s="9"/>
      <c r="E471" s="9"/>
    </row>
    <row r="472" spans="3:5">
      <c r="C472" s="9"/>
      <c r="E472" s="9"/>
    </row>
    <row r="473" spans="3:5">
      <c r="C473" s="9"/>
      <c r="E473" s="9"/>
    </row>
    <row r="474" spans="3:5">
      <c r="C474" s="9"/>
      <c r="E474" s="9"/>
    </row>
    <row r="475" spans="3:5">
      <c r="C475" s="9"/>
      <c r="E475" s="9"/>
    </row>
    <row r="476" spans="3:5">
      <c r="C476" s="9"/>
      <c r="E476" s="9"/>
    </row>
    <row r="477" spans="3:5">
      <c r="C477" s="9"/>
      <c r="E477" s="9"/>
    </row>
    <row r="478" spans="3:5">
      <c r="C478" s="9"/>
      <c r="E478" s="9"/>
    </row>
    <row r="479" spans="3:5">
      <c r="C479" s="9"/>
      <c r="E479" s="9"/>
    </row>
    <row r="480" spans="3:5">
      <c r="C480" s="9"/>
      <c r="E480" s="9"/>
    </row>
    <row r="481" spans="3:5">
      <c r="C481" s="9"/>
      <c r="E481" s="9"/>
    </row>
    <row r="482" spans="3:5">
      <c r="C482" s="9"/>
      <c r="E482" s="9"/>
    </row>
    <row r="483" spans="3:5">
      <c r="C483" s="9"/>
      <c r="E483" s="9"/>
    </row>
    <row r="484" spans="3:5">
      <c r="C484" s="9"/>
      <c r="E484" s="9"/>
    </row>
    <row r="485" spans="3:5">
      <c r="C485" s="9"/>
      <c r="E485" s="9"/>
    </row>
    <row r="486" spans="3:5">
      <c r="C486" s="9"/>
      <c r="E486" s="9"/>
    </row>
    <row r="487" spans="3:5">
      <c r="C487" s="9"/>
      <c r="E487" s="9"/>
    </row>
    <row r="488" spans="3:5">
      <c r="C488" s="9"/>
      <c r="E488" s="9"/>
    </row>
    <row r="489" spans="3:5">
      <c r="C489" s="9"/>
      <c r="E489" s="9"/>
    </row>
    <row r="490" spans="3:5">
      <c r="C490" s="9"/>
      <c r="E490" s="9"/>
    </row>
    <row r="491" spans="3:5">
      <c r="C491" s="9"/>
      <c r="E491" s="9"/>
    </row>
    <row r="492" spans="3:5">
      <c r="C492" s="9"/>
      <c r="E492" s="9"/>
    </row>
    <row r="493" spans="3:5">
      <c r="C493" s="9"/>
      <c r="E493" s="9"/>
    </row>
    <row r="494" spans="3:5">
      <c r="C494" s="9"/>
      <c r="E494" s="9"/>
    </row>
    <row r="495" spans="3:5">
      <c r="C495" s="9"/>
      <c r="E495" s="9"/>
    </row>
    <row r="496" spans="3:5">
      <c r="C496" s="9"/>
      <c r="E496" s="9"/>
    </row>
    <row r="497" spans="3:5">
      <c r="C497" s="9"/>
      <c r="E497" s="9"/>
    </row>
    <row r="498" spans="3:5">
      <c r="C498" s="9"/>
      <c r="E498" s="9"/>
    </row>
    <row r="499" spans="3:5">
      <c r="C499" s="9"/>
      <c r="E499" s="9"/>
    </row>
    <row r="500" spans="3:5">
      <c r="C500" s="9"/>
      <c r="E500" s="9"/>
    </row>
    <row r="501" spans="3:5">
      <c r="C501" s="9"/>
      <c r="E501" s="9"/>
    </row>
    <row r="502" spans="3:5">
      <c r="C502" s="9"/>
      <c r="E502" s="9"/>
    </row>
    <row r="503" spans="3:5">
      <c r="C503" s="9"/>
      <c r="E503" s="9"/>
    </row>
    <row r="504" spans="3:5">
      <c r="C504" s="9"/>
      <c r="E504" s="9"/>
    </row>
    <row r="505" spans="3:5">
      <c r="C505" s="9"/>
      <c r="E505" s="9"/>
    </row>
    <row r="506" spans="3:5">
      <c r="C506" s="9"/>
      <c r="E506" s="9"/>
    </row>
    <row r="507" spans="3:5">
      <c r="C507" s="9"/>
      <c r="E507" s="9"/>
    </row>
    <row r="508" spans="3:5">
      <c r="C508" s="9"/>
      <c r="E508" s="9"/>
    </row>
    <row r="509" spans="3:5">
      <c r="C509" s="9"/>
      <c r="E509" s="9"/>
    </row>
    <row r="510" spans="3:5">
      <c r="C510" s="9"/>
      <c r="E510" s="9"/>
    </row>
    <row r="511" spans="3:5">
      <c r="C511" s="9"/>
      <c r="E511" s="9"/>
    </row>
    <row r="512" spans="3:5">
      <c r="C512" s="9"/>
      <c r="E512" s="9"/>
    </row>
    <row r="513" spans="3:5">
      <c r="C513" s="9"/>
      <c r="E513" s="9"/>
    </row>
    <row r="514" spans="3:5">
      <c r="C514" s="9"/>
      <c r="E514" s="9"/>
    </row>
    <row r="515" spans="3:5">
      <c r="C515" s="9"/>
      <c r="E515" s="9"/>
    </row>
    <row r="516" spans="3:5">
      <c r="C516" s="9"/>
      <c r="E516" s="9"/>
    </row>
    <row r="517" spans="3:5">
      <c r="C517" s="9"/>
      <c r="E517" s="9"/>
    </row>
    <row r="518" spans="3:5">
      <c r="C518" s="9"/>
      <c r="E518" s="9"/>
    </row>
    <row r="519" spans="3:5">
      <c r="C519" s="9"/>
      <c r="E519" s="9"/>
    </row>
    <row r="520" spans="3:5">
      <c r="C520" s="9"/>
      <c r="E520" s="9"/>
    </row>
    <row r="521" spans="3:5">
      <c r="C521" s="9"/>
      <c r="E521" s="9"/>
    </row>
    <row r="522" spans="3:5">
      <c r="C522" s="9"/>
      <c r="E522" s="9"/>
    </row>
    <row r="523" spans="3:5">
      <c r="C523" s="9"/>
      <c r="E523" s="9"/>
    </row>
    <row r="524" spans="3:5">
      <c r="C524" s="9"/>
      <c r="E524" s="9"/>
    </row>
    <row r="525" spans="3:5">
      <c r="C525" s="9"/>
      <c r="E525" s="9"/>
    </row>
    <row r="526" spans="3:5">
      <c r="C526" s="9"/>
      <c r="E526" s="9"/>
    </row>
    <row r="527" spans="3:5">
      <c r="C527" s="9"/>
      <c r="E527" s="9"/>
    </row>
    <row r="528" spans="3:5">
      <c r="C528" s="9"/>
      <c r="E528" s="9"/>
    </row>
    <row r="529" spans="3:5">
      <c r="C529" s="9"/>
      <c r="E529" s="9"/>
    </row>
    <row r="530" spans="3:5">
      <c r="C530" s="9"/>
      <c r="E530" s="9"/>
    </row>
    <row r="531" spans="3:5">
      <c r="C531" s="9"/>
      <c r="E531" s="9"/>
    </row>
    <row r="532" spans="3:5">
      <c r="C532" s="9"/>
      <c r="E532" s="9"/>
    </row>
    <row r="533" spans="3:5">
      <c r="C533" s="9"/>
      <c r="E533" s="9"/>
    </row>
    <row r="534" spans="3:5">
      <c r="C534" s="9"/>
      <c r="E534" s="9"/>
    </row>
    <row r="535" spans="3:5">
      <c r="C535" s="9"/>
      <c r="E535" s="9"/>
    </row>
    <row r="536" spans="3:5">
      <c r="C536" s="9"/>
      <c r="E536" s="9"/>
    </row>
    <row r="537" spans="3:5">
      <c r="C537" s="9"/>
      <c r="E537" s="9"/>
    </row>
    <row r="538" spans="3:5">
      <c r="C538" s="9"/>
      <c r="E538" s="9"/>
    </row>
    <row r="539" spans="3:5">
      <c r="C539" s="9"/>
      <c r="E539" s="9"/>
    </row>
    <row r="540" spans="3:5">
      <c r="C540" s="9"/>
      <c r="E540" s="9"/>
    </row>
    <row r="541" spans="3:5">
      <c r="C541" s="9"/>
      <c r="E541" s="9"/>
    </row>
    <row r="542" spans="3:5">
      <c r="C542" s="9"/>
      <c r="E542" s="9"/>
    </row>
    <row r="543" spans="3:5">
      <c r="C543" s="9"/>
      <c r="E543" s="9"/>
    </row>
    <row r="544" spans="3:5">
      <c r="C544" s="9"/>
      <c r="E544" s="9"/>
    </row>
    <row r="545" spans="3:5">
      <c r="C545" s="9"/>
      <c r="E545" s="9"/>
    </row>
    <row r="546" spans="3:5">
      <c r="C546" s="9"/>
      <c r="E546" s="9"/>
    </row>
    <row r="547" spans="3:5">
      <c r="C547" s="9"/>
      <c r="E547" s="9"/>
    </row>
    <row r="548" spans="3:5">
      <c r="C548" s="9"/>
      <c r="E548" s="9"/>
    </row>
    <row r="549" spans="3:5">
      <c r="C549" s="9"/>
      <c r="E549" s="9"/>
    </row>
    <row r="550" spans="3:5">
      <c r="C550" s="9"/>
      <c r="E550" s="9"/>
    </row>
    <row r="551" spans="3:5">
      <c r="C551" s="9"/>
      <c r="E551" s="9"/>
    </row>
    <row r="552" spans="3:5">
      <c r="C552" s="9"/>
      <c r="E552" s="9"/>
    </row>
    <row r="553" spans="3:5">
      <c r="C553" s="9"/>
      <c r="E553" s="9"/>
    </row>
    <row r="554" spans="3:5">
      <c r="C554" s="9"/>
      <c r="E554" s="9"/>
    </row>
    <row r="555" spans="3:5">
      <c r="C555" s="9"/>
      <c r="E555" s="9"/>
    </row>
    <row r="556" spans="3:5">
      <c r="C556" s="9"/>
      <c r="E556" s="9"/>
    </row>
    <row r="557" spans="3:5">
      <c r="C557" s="9"/>
      <c r="E557" s="9"/>
    </row>
    <row r="558" spans="3:5">
      <c r="C558" s="9"/>
      <c r="E558" s="9"/>
    </row>
    <row r="559" spans="3:5">
      <c r="C559" s="9"/>
      <c r="E559" s="9"/>
    </row>
    <row r="560" spans="3:5">
      <c r="C560" s="9"/>
      <c r="E560" s="9"/>
    </row>
    <row r="561" spans="3:5">
      <c r="C561" s="9"/>
      <c r="E561" s="9"/>
    </row>
    <row r="562" spans="3:5">
      <c r="C562" s="9"/>
      <c r="E562" s="9"/>
    </row>
    <row r="563" spans="3:5">
      <c r="C563" s="9"/>
      <c r="E563" s="9"/>
    </row>
    <row r="564" spans="3:5">
      <c r="C564" s="9"/>
      <c r="E564" s="9"/>
    </row>
    <row r="565" spans="3:5">
      <c r="C565" s="9"/>
      <c r="E565" s="9"/>
    </row>
    <row r="566" spans="3:5">
      <c r="C566" s="9"/>
      <c r="E566" s="9"/>
    </row>
    <row r="567" spans="3:5">
      <c r="C567" s="9"/>
      <c r="E567" s="9"/>
    </row>
    <row r="568" spans="3:5">
      <c r="C568" s="9"/>
      <c r="E568" s="9"/>
    </row>
    <row r="569" spans="3:5">
      <c r="C569" s="9"/>
      <c r="E569" s="9"/>
    </row>
    <row r="570" spans="3:5">
      <c r="C570" s="9"/>
      <c r="E570" s="9"/>
    </row>
    <row r="571" spans="3:5">
      <c r="C571" s="9"/>
      <c r="E571" s="9"/>
    </row>
    <row r="572" spans="3:5">
      <c r="C572" s="9"/>
      <c r="E572" s="9"/>
    </row>
    <row r="573" spans="3:5">
      <c r="C573" s="9"/>
      <c r="E573" s="9"/>
    </row>
    <row r="574" spans="3:5">
      <c r="C574" s="9"/>
      <c r="E574" s="9"/>
    </row>
    <row r="575" spans="3:5">
      <c r="C575" s="9"/>
      <c r="E575" s="9"/>
    </row>
    <row r="576" spans="3:5">
      <c r="C576" s="9"/>
      <c r="E576" s="9"/>
    </row>
    <row r="577" spans="3:5">
      <c r="C577" s="9"/>
      <c r="E577" s="9"/>
    </row>
    <row r="578" spans="3:5">
      <c r="C578" s="9"/>
      <c r="E578" s="9"/>
    </row>
    <row r="579" spans="3:5">
      <c r="C579" s="9"/>
      <c r="E579" s="9"/>
    </row>
    <row r="580" spans="3:5">
      <c r="C580" s="9"/>
      <c r="E580" s="9"/>
    </row>
    <row r="581" spans="3:5">
      <c r="C581" s="9"/>
      <c r="E581" s="9"/>
    </row>
    <row r="582" spans="3:5">
      <c r="C582" s="9"/>
      <c r="E582" s="9"/>
    </row>
    <row r="583" spans="3:5">
      <c r="C583" s="9"/>
      <c r="E583" s="9"/>
    </row>
    <row r="584" spans="3:5">
      <c r="C584" s="9"/>
      <c r="E584" s="9"/>
    </row>
    <row r="585" spans="3:5">
      <c r="C585" s="9"/>
      <c r="E585" s="9"/>
    </row>
    <row r="586" spans="3:5">
      <c r="C586" s="9"/>
      <c r="E586" s="9"/>
    </row>
    <row r="587" spans="3:5">
      <c r="C587" s="9"/>
      <c r="E587" s="9"/>
    </row>
    <row r="588" spans="3:5">
      <c r="C588" s="9"/>
      <c r="E588" s="9"/>
    </row>
    <row r="589" spans="3:5">
      <c r="C589" s="9"/>
      <c r="E589" s="9"/>
    </row>
    <row r="590" spans="3:5">
      <c r="C590" s="9"/>
      <c r="E590" s="9"/>
    </row>
    <row r="591" spans="3:5">
      <c r="C591" s="9"/>
      <c r="E591" s="9"/>
    </row>
    <row r="592" spans="3:5">
      <c r="C592" s="9"/>
      <c r="E592" s="9"/>
    </row>
    <row r="593" spans="3:5">
      <c r="C593" s="9"/>
      <c r="E593" s="9"/>
    </row>
    <row r="594" spans="3:5">
      <c r="C594" s="9"/>
      <c r="E594" s="9"/>
    </row>
    <row r="595" spans="3:5">
      <c r="C595" s="9"/>
      <c r="E595" s="9"/>
    </row>
    <row r="596" spans="3:5">
      <c r="C596" s="9"/>
      <c r="E596" s="9"/>
    </row>
    <row r="597" spans="3:5">
      <c r="C597" s="9"/>
      <c r="E597" s="9"/>
    </row>
    <row r="598" spans="3:5">
      <c r="C598" s="9"/>
      <c r="E598" s="9"/>
    </row>
    <row r="599" spans="3:5">
      <c r="C599" s="9"/>
      <c r="E599" s="9"/>
    </row>
    <row r="600" spans="3:5">
      <c r="C600" s="9"/>
      <c r="E600" s="9"/>
    </row>
    <row r="601" spans="3:5">
      <c r="C601" s="9"/>
      <c r="E601" s="9"/>
    </row>
    <row r="602" spans="3:5">
      <c r="C602" s="9"/>
      <c r="E602" s="9"/>
    </row>
    <row r="603" spans="3:5">
      <c r="C603" s="9"/>
      <c r="E603" s="9"/>
    </row>
    <row r="604" spans="3:5">
      <c r="C604" s="9"/>
      <c r="E604" s="9"/>
    </row>
    <row r="605" spans="3:5">
      <c r="C605" s="9"/>
      <c r="E605" s="9"/>
    </row>
    <row r="606" spans="3:5">
      <c r="C606" s="9"/>
      <c r="E606" s="9"/>
    </row>
    <row r="607" spans="3:5">
      <c r="C607" s="9"/>
      <c r="E607" s="9"/>
    </row>
    <row r="608" spans="3:5">
      <c r="C608" s="9"/>
      <c r="E608" s="9"/>
    </row>
    <row r="609" spans="3:5">
      <c r="C609" s="9"/>
      <c r="E609" s="9"/>
    </row>
    <row r="610" spans="3:5">
      <c r="C610" s="9"/>
      <c r="E610" s="9"/>
    </row>
    <row r="611" spans="3:5">
      <c r="C611" s="9"/>
      <c r="E611" s="9"/>
    </row>
    <row r="612" spans="3:5">
      <c r="C612" s="9"/>
      <c r="E612" s="9"/>
    </row>
    <row r="613" spans="3:5">
      <c r="C613" s="9"/>
      <c r="E613" s="9"/>
    </row>
    <row r="614" spans="3:5">
      <c r="C614" s="9"/>
      <c r="E614" s="9"/>
    </row>
    <row r="615" spans="3:5">
      <c r="C615" s="9"/>
      <c r="E615" s="9"/>
    </row>
    <row r="616" spans="3:5">
      <c r="C616" s="9"/>
      <c r="E616" s="9"/>
    </row>
    <row r="617" spans="3:5">
      <c r="C617" s="9"/>
      <c r="E617" s="9"/>
    </row>
    <row r="618" spans="3:5">
      <c r="C618" s="9"/>
      <c r="E618" s="9"/>
    </row>
    <row r="619" spans="3:5">
      <c r="C619" s="9"/>
      <c r="E619" s="9"/>
    </row>
    <row r="620" spans="3:5">
      <c r="C620" s="9"/>
      <c r="E620" s="9"/>
    </row>
    <row r="621" spans="3:5">
      <c r="C621" s="9"/>
      <c r="E621" s="9"/>
    </row>
    <row r="622" spans="3:5">
      <c r="C622" s="9"/>
      <c r="E622" s="9"/>
    </row>
    <row r="623" spans="3:5">
      <c r="C623" s="9"/>
      <c r="E623" s="9"/>
    </row>
    <row r="624" spans="3:5">
      <c r="C624" s="9"/>
      <c r="E624" s="9"/>
    </row>
    <row r="625" spans="3:5">
      <c r="C625" s="9"/>
      <c r="E625" s="9"/>
    </row>
    <row r="626" spans="3:5">
      <c r="C626" s="9"/>
      <c r="E626" s="9"/>
    </row>
    <row r="627" spans="3:5">
      <c r="C627" s="9"/>
      <c r="E627" s="9"/>
    </row>
    <row r="628" spans="3:5">
      <c r="C628" s="9"/>
      <c r="E628" s="9"/>
    </row>
    <row r="629" spans="3:5">
      <c r="C629" s="9"/>
      <c r="E629" s="9"/>
    </row>
    <row r="630" spans="3:5">
      <c r="C630" s="9"/>
      <c r="E630" s="9"/>
    </row>
    <row r="631" spans="3:5">
      <c r="C631" s="9"/>
      <c r="E631" s="9"/>
    </row>
    <row r="632" spans="3:5">
      <c r="C632" s="9"/>
      <c r="E632" s="9"/>
    </row>
    <row r="633" spans="3:5">
      <c r="C633" s="9"/>
      <c r="E633" s="9"/>
    </row>
    <row r="634" spans="3:5">
      <c r="C634" s="9"/>
      <c r="E634" s="9"/>
    </row>
    <row r="635" spans="3:5">
      <c r="C635" s="9"/>
      <c r="E635" s="9"/>
    </row>
    <row r="636" spans="3:5">
      <c r="C636" s="9"/>
      <c r="E636" s="9"/>
    </row>
    <row r="637" spans="3:5">
      <c r="C637" s="9"/>
      <c r="E637" s="9"/>
    </row>
    <row r="638" spans="3:5">
      <c r="C638" s="9"/>
      <c r="E638" s="9"/>
    </row>
    <row r="639" spans="3:5">
      <c r="C639" s="9"/>
      <c r="E639" s="9"/>
    </row>
    <row r="640" spans="3:5">
      <c r="C640" s="9"/>
      <c r="E640" s="9"/>
    </row>
    <row r="641" spans="3:5">
      <c r="C641" s="9"/>
      <c r="E641" s="9"/>
    </row>
    <row r="642" spans="3:5">
      <c r="C642" s="9"/>
      <c r="E642" s="9"/>
    </row>
    <row r="643" spans="3:5">
      <c r="C643" s="9"/>
      <c r="E643" s="9"/>
    </row>
    <row r="644" spans="3:5">
      <c r="C644" s="9"/>
      <c r="E644" s="9"/>
    </row>
    <row r="645" spans="3:5">
      <c r="C645" s="9"/>
      <c r="E645" s="9"/>
    </row>
    <row r="646" spans="3:5">
      <c r="C646" s="9"/>
      <c r="E646" s="9"/>
    </row>
    <row r="647" spans="3:5">
      <c r="C647" s="9"/>
      <c r="E647" s="9"/>
    </row>
    <row r="648" spans="3:5">
      <c r="C648" s="9"/>
      <c r="E648" s="9"/>
    </row>
    <row r="649" spans="3:5">
      <c r="C649" s="9"/>
      <c r="E649" s="9"/>
    </row>
    <row r="650" spans="3:5">
      <c r="C650" s="9"/>
      <c r="E650" s="9"/>
    </row>
    <row r="651" spans="3:5">
      <c r="C651" s="9"/>
      <c r="E651" s="9"/>
    </row>
    <row r="652" spans="3:5">
      <c r="C652" s="9"/>
      <c r="E652" s="9"/>
    </row>
    <row r="653" spans="3:5">
      <c r="C653" s="9"/>
      <c r="E653" s="9"/>
    </row>
    <row r="654" spans="3:5">
      <c r="C654" s="9"/>
      <c r="E654" s="9"/>
    </row>
    <row r="655" spans="3:5">
      <c r="C655" s="9"/>
      <c r="E655" s="9"/>
    </row>
    <row r="656" spans="3:5">
      <c r="C656" s="9"/>
      <c r="E656" s="9"/>
    </row>
    <row r="657" spans="3:5">
      <c r="C657" s="9"/>
      <c r="E657" s="9"/>
    </row>
    <row r="658" spans="3:5">
      <c r="C658" s="9"/>
      <c r="E658" s="9"/>
    </row>
    <row r="659" spans="3:5">
      <c r="C659" s="9"/>
      <c r="E659" s="9"/>
    </row>
    <row r="660" spans="3:5">
      <c r="C660" s="9"/>
      <c r="E660" s="9"/>
    </row>
    <row r="661" spans="3:5">
      <c r="C661" s="9"/>
      <c r="E661" s="9"/>
    </row>
    <row r="662" spans="3:5">
      <c r="C662" s="9"/>
      <c r="E662" s="9"/>
    </row>
    <row r="663" spans="3:5">
      <c r="C663" s="9"/>
      <c r="E663" s="9"/>
    </row>
    <row r="664" spans="3:5">
      <c r="C664" s="9"/>
      <c r="E664" s="9"/>
    </row>
    <row r="665" spans="3:5">
      <c r="C665" s="9"/>
      <c r="E665" s="9"/>
    </row>
    <row r="666" spans="3:5">
      <c r="C666" s="9"/>
      <c r="E666" s="9"/>
    </row>
    <row r="667" spans="3:5">
      <c r="C667" s="9"/>
      <c r="E667" s="9"/>
    </row>
    <row r="668" spans="3:5">
      <c r="C668" s="9"/>
      <c r="E668" s="9"/>
    </row>
    <row r="669" spans="3:5">
      <c r="C669" s="9"/>
      <c r="E669" s="9"/>
    </row>
    <row r="670" spans="3:5">
      <c r="C670" s="9"/>
      <c r="E670" s="9"/>
    </row>
    <row r="671" spans="3:5">
      <c r="C671" s="9"/>
      <c r="E671" s="9"/>
    </row>
    <row r="672" spans="3:5">
      <c r="C672" s="9"/>
      <c r="E672" s="9"/>
    </row>
    <row r="673" spans="3:5">
      <c r="C673" s="9"/>
      <c r="E673" s="9"/>
    </row>
    <row r="674" spans="3:5">
      <c r="C674" s="9"/>
      <c r="E674" s="9"/>
    </row>
    <row r="675" spans="3:5">
      <c r="C675" s="9"/>
      <c r="E675" s="9"/>
    </row>
    <row r="676" spans="3:5">
      <c r="C676" s="9"/>
      <c r="E676" s="9"/>
    </row>
    <row r="677" spans="3:5">
      <c r="C677" s="9"/>
      <c r="E677" s="9"/>
    </row>
    <row r="678" spans="3:5">
      <c r="C678" s="9"/>
      <c r="E678" s="9"/>
    </row>
    <row r="679" spans="3:5">
      <c r="C679" s="9"/>
      <c r="E679" s="9"/>
    </row>
    <row r="680" spans="3:5">
      <c r="C680" s="9"/>
      <c r="E680" s="9"/>
    </row>
    <row r="681" spans="3:5">
      <c r="C681" s="9"/>
      <c r="E681" s="9"/>
    </row>
    <row r="682" spans="3:5">
      <c r="C682" s="9"/>
      <c r="E682" s="9"/>
    </row>
    <row r="683" spans="3:5">
      <c r="C683" s="9"/>
      <c r="E683" s="9"/>
    </row>
    <row r="684" spans="3:5">
      <c r="C684" s="9"/>
      <c r="E684" s="9"/>
    </row>
    <row r="685" spans="3:5">
      <c r="C685" s="9"/>
      <c r="E685" s="9"/>
    </row>
    <row r="686" spans="3:5">
      <c r="C686" s="9"/>
      <c r="E686" s="9"/>
    </row>
    <row r="687" spans="3:5">
      <c r="C687" s="9"/>
      <c r="E687" s="9"/>
    </row>
    <row r="688" spans="3:5">
      <c r="C688" s="9"/>
      <c r="E688" s="9"/>
    </row>
    <row r="689" spans="3:5">
      <c r="C689" s="9"/>
      <c r="E689" s="9"/>
    </row>
    <row r="690" spans="3:5">
      <c r="C690" s="9"/>
      <c r="E690" s="9"/>
    </row>
    <row r="691" spans="3:5">
      <c r="C691" s="9"/>
      <c r="E691" s="9"/>
    </row>
    <row r="692" spans="3:5">
      <c r="C692" s="9"/>
      <c r="E692" s="9"/>
    </row>
    <row r="693" spans="3:5">
      <c r="C693" s="9"/>
      <c r="E693" s="9"/>
    </row>
    <row r="694" spans="3:5">
      <c r="C694" s="9"/>
      <c r="E694" s="9"/>
    </row>
    <row r="695" spans="3:5">
      <c r="C695" s="9"/>
      <c r="E695" s="9"/>
    </row>
    <row r="696" spans="3:5">
      <c r="C696" s="9"/>
      <c r="E696" s="9"/>
    </row>
    <row r="697" spans="3:5">
      <c r="C697" s="9"/>
      <c r="E697" s="9"/>
    </row>
    <row r="698" spans="3:5">
      <c r="C698" s="9"/>
      <c r="E698" s="9"/>
    </row>
    <row r="699" spans="3:5">
      <c r="C699" s="9"/>
      <c r="E699" s="9"/>
    </row>
    <row r="700" spans="3:5">
      <c r="C700" s="9"/>
      <c r="E700" s="9"/>
    </row>
    <row r="701" spans="3:5">
      <c r="C701" s="9"/>
      <c r="E701" s="9"/>
    </row>
    <row r="702" spans="3:5">
      <c r="C702" s="9"/>
      <c r="E702" s="9"/>
    </row>
    <row r="703" spans="3:5">
      <c r="C703" s="9"/>
      <c r="E703" s="9"/>
    </row>
    <row r="704" spans="3:5">
      <c r="C704" s="9"/>
      <c r="E704" s="9"/>
    </row>
    <row r="705" spans="3:5">
      <c r="C705" s="9"/>
      <c r="E705" s="9"/>
    </row>
    <row r="706" spans="3:5">
      <c r="C706" s="9"/>
      <c r="E706" s="9"/>
    </row>
    <row r="707" spans="3:5">
      <c r="C707" s="9"/>
      <c r="E707" s="9"/>
    </row>
    <row r="708" spans="3:5">
      <c r="C708" s="9"/>
      <c r="E708" s="9"/>
    </row>
    <row r="709" spans="3:5">
      <c r="C709" s="9"/>
      <c r="E709" s="9"/>
    </row>
    <row r="710" spans="3:5">
      <c r="C710" s="9"/>
      <c r="E710" s="9"/>
    </row>
    <row r="711" spans="3:5">
      <c r="C711" s="9"/>
      <c r="E711" s="9"/>
    </row>
    <row r="712" spans="3:5">
      <c r="C712" s="9"/>
      <c r="E712" s="9"/>
    </row>
    <row r="713" spans="3:5">
      <c r="C713" s="9"/>
      <c r="E713" s="9"/>
    </row>
    <row r="714" spans="3:5">
      <c r="C714" s="9"/>
      <c r="E714" s="9"/>
    </row>
    <row r="715" spans="3:5">
      <c r="C715" s="9"/>
      <c r="E715" s="9"/>
    </row>
    <row r="716" spans="3:5">
      <c r="C716" s="9"/>
      <c r="E716" s="9"/>
    </row>
    <row r="717" spans="3:5">
      <c r="C717" s="9"/>
      <c r="E717" s="9"/>
    </row>
    <row r="718" spans="3:5">
      <c r="C718" s="9"/>
      <c r="E718" s="9"/>
    </row>
    <row r="719" spans="3:5">
      <c r="C719" s="9"/>
      <c r="E719" s="9"/>
    </row>
    <row r="720" spans="3:5">
      <c r="C720" s="9"/>
      <c r="E720" s="9"/>
    </row>
    <row r="721" spans="3:5">
      <c r="C721" s="9"/>
      <c r="E721" s="9"/>
    </row>
    <row r="722" spans="3:5">
      <c r="C722" s="9"/>
      <c r="E722" s="9"/>
    </row>
    <row r="723" spans="3:5">
      <c r="C723" s="9"/>
      <c r="E723" s="9"/>
    </row>
    <row r="724" spans="3:5">
      <c r="C724" s="9"/>
      <c r="E724" s="9"/>
    </row>
    <row r="725" spans="3:5">
      <c r="C725" s="9"/>
      <c r="E725" s="9"/>
    </row>
    <row r="726" spans="3:5">
      <c r="C726" s="9"/>
      <c r="E726" s="9"/>
    </row>
    <row r="727" spans="3:5">
      <c r="C727" s="9"/>
      <c r="E727" s="9"/>
    </row>
    <row r="728" spans="3:5">
      <c r="C728" s="9"/>
      <c r="E728" s="9"/>
    </row>
    <row r="729" spans="3:5">
      <c r="C729" s="9"/>
      <c r="E729" s="9"/>
    </row>
    <row r="730" spans="3:5">
      <c r="C730" s="9"/>
      <c r="E730" s="9"/>
    </row>
    <row r="731" spans="3:5">
      <c r="C731" s="9"/>
      <c r="E731" s="9"/>
    </row>
    <row r="732" spans="3:5">
      <c r="C732" s="9"/>
      <c r="E732" s="9"/>
    </row>
    <row r="733" spans="3:5">
      <c r="C733" s="9"/>
      <c r="E733" s="9"/>
    </row>
    <row r="734" spans="3:5">
      <c r="C734" s="9"/>
      <c r="E734" s="9"/>
    </row>
    <row r="735" spans="3:5">
      <c r="C735" s="9"/>
      <c r="E735" s="9"/>
    </row>
    <row r="736" spans="3:5">
      <c r="C736" s="9"/>
      <c r="E736" s="9"/>
    </row>
    <row r="737" spans="3:5">
      <c r="C737" s="9"/>
      <c r="E737" s="9"/>
    </row>
    <row r="738" spans="3:5">
      <c r="C738" s="9"/>
      <c r="E738" s="9"/>
    </row>
    <row r="739" spans="3:5">
      <c r="C739" s="9"/>
      <c r="E739" s="9"/>
    </row>
    <row r="740" spans="3:5">
      <c r="C740" s="9"/>
      <c r="E740" s="9"/>
    </row>
    <row r="741" spans="3:5">
      <c r="C741" s="9"/>
      <c r="E741" s="9"/>
    </row>
    <row r="742" spans="3:5">
      <c r="C742" s="9"/>
      <c r="E742" s="9"/>
    </row>
    <row r="743" spans="3:5">
      <c r="C743" s="9"/>
      <c r="E743" s="9"/>
    </row>
    <row r="744" spans="3:5">
      <c r="C744" s="9"/>
      <c r="E744" s="9"/>
    </row>
    <row r="745" spans="3:5">
      <c r="C745" s="9"/>
      <c r="E745" s="9"/>
    </row>
    <row r="746" spans="3:5">
      <c r="C746" s="9"/>
      <c r="E746" s="9"/>
    </row>
    <row r="747" spans="3:5">
      <c r="C747" s="9"/>
      <c r="E747" s="9"/>
    </row>
    <row r="748" spans="3:5">
      <c r="C748" s="9"/>
      <c r="E748" s="9"/>
    </row>
    <row r="749" spans="3:5">
      <c r="C749" s="9"/>
      <c r="E749" s="9"/>
    </row>
    <row r="750" spans="3:5">
      <c r="C750" s="9"/>
      <c r="E750" s="9"/>
    </row>
    <row r="751" spans="3:5">
      <c r="C751" s="9"/>
      <c r="E751" s="9"/>
    </row>
    <row r="752" spans="3:5">
      <c r="C752" s="9"/>
      <c r="E752" s="9"/>
    </row>
    <row r="753" spans="3:5">
      <c r="C753" s="9"/>
      <c r="E753" s="9"/>
    </row>
    <row r="754" spans="3:5">
      <c r="C754" s="9"/>
      <c r="E754" s="9"/>
    </row>
    <row r="755" spans="3:5">
      <c r="C755" s="9"/>
      <c r="E755" s="9"/>
    </row>
    <row r="756" spans="3:5">
      <c r="C756" s="9"/>
      <c r="E756" s="9"/>
    </row>
    <row r="757" spans="3:5">
      <c r="C757" s="9"/>
      <c r="E757" s="9"/>
    </row>
    <row r="758" spans="3:5">
      <c r="C758" s="9"/>
      <c r="E758" s="9"/>
    </row>
    <row r="759" spans="3:5">
      <c r="C759" s="9"/>
      <c r="E759" s="9"/>
    </row>
    <row r="760" spans="3:5">
      <c r="C760" s="9"/>
      <c r="E760" s="9"/>
    </row>
    <row r="761" spans="3:5">
      <c r="C761" s="9"/>
      <c r="E761" s="9"/>
    </row>
    <row r="762" spans="3:5">
      <c r="C762" s="9"/>
      <c r="E762" s="9"/>
    </row>
    <row r="763" spans="3:5">
      <c r="C763" s="9"/>
      <c r="E763" s="9"/>
    </row>
    <row r="764" spans="3:5">
      <c r="C764" s="9"/>
      <c r="E764" s="9"/>
    </row>
    <row r="765" spans="3:5">
      <c r="C765" s="9"/>
      <c r="E765" s="9"/>
    </row>
    <row r="766" spans="3:5">
      <c r="C766" s="9"/>
      <c r="E766" s="9"/>
    </row>
    <row r="767" spans="3:5">
      <c r="C767" s="9"/>
      <c r="E767" s="9"/>
    </row>
    <row r="768" spans="3:5">
      <c r="C768" s="9"/>
      <c r="E768" s="9"/>
    </row>
    <row r="769" spans="3:5">
      <c r="C769" s="9"/>
      <c r="E769" s="9"/>
    </row>
    <row r="770" spans="3:5">
      <c r="C770" s="9"/>
      <c r="E770" s="9"/>
    </row>
    <row r="771" spans="3:5">
      <c r="C771" s="9"/>
      <c r="E771" s="9"/>
    </row>
    <row r="772" spans="3:5">
      <c r="C772" s="9"/>
      <c r="E772" s="9"/>
    </row>
    <row r="773" spans="3:5">
      <c r="C773" s="9"/>
      <c r="E773" s="9"/>
    </row>
    <row r="774" spans="3:5">
      <c r="C774" s="9"/>
      <c r="E774" s="9"/>
    </row>
    <row r="775" spans="3:5">
      <c r="C775" s="9"/>
      <c r="E775" s="9"/>
    </row>
    <row r="776" spans="3:5">
      <c r="C776" s="9"/>
      <c r="E776" s="9"/>
    </row>
    <row r="777" spans="3:5">
      <c r="C777" s="9"/>
      <c r="E777" s="9"/>
    </row>
    <row r="778" spans="3:5">
      <c r="C778" s="9"/>
      <c r="E778" s="9"/>
    </row>
    <row r="779" spans="3:5">
      <c r="C779" s="9"/>
      <c r="E779" s="9"/>
    </row>
    <row r="780" spans="3:5">
      <c r="C780" s="9"/>
      <c r="E780" s="9"/>
    </row>
    <row r="781" spans="3:5">
      <c r="C781" s="9"/>
      <c r="E781" s="9"/>
    </row>
    <row r="782" spans="3:5">
      <c r="C782" s="9"/>
      <c r="E782" s="9"/>
    </row>
    <row r="783" spans="3:5">
      <c r="C783" s="9"/>
      <c r="E783" s="9"/>
    </row>
    <row r="784" spans="3:5">
      <c r="C784" s="9"/>
      <c r="E784" s="9"/>
    </row>
    <row r="785" spans="3:5">
      <c r="C785" s="9"/>
      <c r="E785" s="9"/>
    </row>
    <row r="786" spans="3:5">
      <c r="C786" s="9"/>
      <c r="E786" s="9"/>
    </row>
    <row r="787" spans="3:5">
      <c r="C787" s="9"/>
      <c r="E787" s="9"/>
    </row>
    <row r="788" spans="3:5">
      <c r="C788" s="9"/>
      <c r="E788" s="9"/>
    </row>
    <row r="789" spans="3:5">
      <c r="C789" s="9"/>
      <c r="E789" s="9"/>
    </row>
    <row r="790" spans="3:5">
      <c r="C790" s="9"/>
      <c r="E790" s="9"/>
    </row>
    <row r="791" spans="3:5">
      <c r="C791" s="9"/>
      <c r="E791" s="9"/>
    </row>
    <row r="792" spans="3:5">
      <c r="C792" s="9"/>
      <c r="E792" s="9"/>
    </row>
    <row r="793" spans="3:5">
      <c r="C793" s="9"/>
      <c r="E793" s="9"/>
    </row>
    <row r="794" spans="3:5">
      <c r="C794" s="9"/>
      <c r="E794" s="9"/>
    </row>
    <row r="795" spans="3:5">
      <c r="C795" s="9"/>
      <c r="E795" s="9"/>
    </row>
    <row r="796" spans="3:5">
      <c r="C796" s="9"/>
      <c r="E796" s="9"/>
    </row>
    <row r="797" spans="3:5">
      <c r="C797" s="9"/>
      <c r="E797" s="9"/>
    </row>
    <row r="798" spans="3:5">
      <c r="C798" s="9"/>
      <c r="E798" s="9"/>
    </row>
    <row r="799" spans="3:5">
      <c r="C799" s="9"/>
      <c r="E799" s="9"/>
    </row>
    <row r="800" spans="3:5">
      <c r="C800" s="9"/>
      <c r="E800" s="9"/>
    </row>
    <row r="801" spans="3:5">
      <c r="C801" s="9"/>
      <c r="E801" s="9"/>
    </row>
    <row r="802" spans="3:5">
      <c r="C802" s="9"/>
      <c r="E802" s="9"/>
    </row>
    <row r="803" spans="3:5">
      <c r="C803" s="9"/>
      <c r="E803" s="9"/>
    </row>
    <row r="804" spans="3:5">
      <c r="C804" s="9"/>
      <c r="E804" s="9"/>
    </row>
    <row r="805" spans="3:5">
      <c r="C805" s="9"/>
      <c r="E805" s="9"/>
    </row>
    <row r="806" spans="3:5">
      <c r="C806" s="9"/>
      <c r="E806" s="9"/>
    </row>
    <row r="807" spans="3:5">
      <c r="C807" s="9"/>
      <c r="E807" s="9"/>
    </row>
    <row r="808" spans="3:5">
      <c r="C808" s="9"/>
      <c r="E808" s="9"/>
    </row>
    <row r="809" spans="3:5">
      <c r="C809" s="9"/>
      <c r="E809" s="9"/>
    </row>
    <row r="810" spans="3:5">
      <c r="C810" s="9"/>
      <c r="E810" s="9"/>
    </row>
    <row r="811" spans="3:5">
      <c r="C811" s="9"/>
      <c r="E811" s="9"/>
    </row>
    <row r="812" spans="3:5">
      <c r="C812" s="9"/>
      <c r="E812" s="9"/>
    </row>
    <row r="813" spans="3:5">
      <c r="C813" s="9"/>
      <c r="E813" s="9"/>
    </row>
    <row r="814" spans="3:5">
      <c r="C814" s="9"/>
      <c r="E814" s="9"/>
    </row>
    <row r="815" spans="3:5">
      <c r="C815" s="9"/>
      <c r="E815" s="9"/>
    </row>
    <row r="816" spans="3:5">
      <c r="C816" s="9"/>
      <c r="E816" s="9"/>
    </row>
    <row r="817" spans="3:5">
      <c r="C817" s="9"/>
      <c r="E817" s="9"/>
    </row>
    <row r="818" spans="3:5">
      <c r="C818" s="9"/>
      <c r="E818" s="9"/>
    </row>
    <row r="819" spans="3:5">
      <c r="C819" s="9"/>
      <c r="E819" s="9"/>
    </row>
    <row r="820" spans="3:5">
      <c r="C820" s="9"/>
      <c r="E820" s="9"/>
    </row>
    <row r="821" spans="3:5">
      <c r="C821" s="9"/>
      <c r="E821" s="9"/>
    </row>
    <row r="822" spans="3:5">
      <c r="C822" s="9"/>
      <c r="E822" s="9"/>
    </row>
    <row r="823" spans="3:5">
      <c r="C823" s="9"/>
      <c r="E823" s="9"/>
    </row>
    <row r="824" spans="3:5">
      <c r="C824" s="9"/>
      <c r="E824" s="9"/>
    </row>
    <row r="825" spans="3:5">
      <c r="C825" s="9"/>
      <c r="E825" s="9"/>
    </row>
    <row r="826" spans="3:5">
      <c r="C826" s="9"/>
      <c r="E826" s="9"/>
    </row>
    <row r="827" spans="3:5">
      <c r="C827" s="9"/>
      <c r="E827" s="9"/>
    </row>
    <row r="828" spans="3:5">
      <c r="C828" s="9"/>
      <c r="E828" s="9"/>
    </row>
    <row r="829" spans="3:5">
      <c r="C829" s="9"/>
      <c r="E829" s="9"/>
    </row>
    <row r="830" spans="3:5">
      <c r="C830" s="9"/>
      <c r="E830" s="9"/>
    </row>
    <row r="831" spans="3:5">
      <c r="C831" s="9"/>
      <c r="E831" s="9"/>
    </row>
    <row r="832" spans="3:5">
      <c r="C832" s="9"/>
      <c r="E832" s="9"/>
    </row>
    <row r="833" spans="3:5">
      <c r="C833" s="9"/>
      <c r="E833" s="9"/>
    </row>
    <row r="834" spans="3:5">
      <c r="C834" s="9"/>
      <c r="E834" s="9"/>
    </row>
    <row r="835" spans="3:5">
      <c r="C835" s="9"/>
      <c r="E835" s="9"/>
    </row>
    <row r="836" spans="3:5">
      <c r="C836" s="9"/>
      <c r="E836" s="9"/>
    </row>
    <row r="837" spans="3:5">
      <c r="C837" s="9"/>
      <c r="E837" s="9"/>
    </row>
    <row r="838" spans="3:5">
      <c r="C838" s="9"/>
      <c r="E838" s="9"/>
    </row>
    <row r="839" spans="3:5">
      <c r="C839" s="9"/>
      <c r="E839" s="9"/>
    </row>
    <row r="840" spans="3:5">
      <c r="C840" s="9"/>
      <c r="E840" s="9"/>
    </row>
    <row r="841" spans="3:5">
      <c r="C841" s="9"/>
      <c r="E841" s="9"/>
    </row>
    <row r="842" spans="3:5">
      <c r="C842" s="9"/>
      <c r="E842" s="9"/>
    </row>
    <row r="843" spans="3:5">
      <c r="C843" s="9"/>
      <c r="E843" s="9"/>
    </row>
    <row r="844" spans="3:5">
      <c r="C844" s="9"/>
      <c r="E844" s="9"/>
    </row>
    <row r="845" spans="3:5">
      <c r="C845" s="9"/>
      <c r="E845" s="9"/>
    </row>
    <row r="846" spans="3:5">
      <c r="C846" s="9"/>
      <c r="E846" s="9"/>
    </row>
    <row r="847" spans="3:5">
      <c r="C847" s="9"/>
      <c r="E847" s="9"/>
    </row>
    <row r="848" spans="3:5">
      <c r="C848" s="9"/>
      <c r="E848" s="9"/>
    </row>
    <row r="849" spans="3:5">
      <c r="C849" s="9"/>
      <c r="E849" s="9"/>
    </row>
    <row r="850" spans="3:5">
      <c r="C850" s="9"/>
      <c r="E850" s="9"/>
    </row>
    <row r="851" spans="3:5">
      <c r="C851" s="9"/>
      <c r="E851" s="9"/>
    </row>
    <row r="852" spans="3:5">
      <c r="C852" s="9"/>
      <c r="E852" s="9"/>
    </row>
    <row r="853" spans="3:5">
      <c r="C853" s="9"/>
      <c r="E853" s="9"/>
    </row>
    <row r="854" spans="3:5">
      <c r="C854" s="9"/>
      <c r="E854" s="9"/>
    </row>
    <row r="855" spans="3:5">
      <c r="C855" s="9"/>
      <c r="E855" s="9"/>
    </row>
    <row r="856" spans="3:5">
      <c r="C856" s="9"/>
      <c r="E856" s="9"/>
    </row>
    <row r="857" spans="3:5">
      <c r="C857" s="9"/>
      <c r="E857" s="9"/>
    </row>
    <row r="858" spans="3:5">
      <c r="C858" s="9"/>
      <c r="E858" s="9"/>
    </row>
    <row r="859" spans="3:5">
      <c r="C859" s="9"/>
      <c r="E859" s="9"/>
    </row>
    <row r="860" spans="3:5">
      <c r="C860" s="9"/>
      <c r="E860" s="9"/>
    </row>
    <row r="861" spans="3:5">
      <c r="C861" s="9"/>
      <c r="E861" s="9"/>
    </row>
    <row r="862" spans="3:5">
      <c r="C862" s="9"/>
      <c r="E862" s="9"/>
    </row>
    <row r="863" spans="3:5">
      <c r="C863" s="9"/>
      <c r="E863" s="9"/>
    </row>
    <row r="864" spans="3:5">
      <c r="C864" s="9"/>
      <c r="E864" s="9"/>
    </row>
    <row r="865" spans="3:5">
      <c r="C865" s="9"/>
      <c r="E865" s="9"/>
    </row>
    <row r="866" spans="3:5">
      <c r="C866" s="9"/>
      <c r="E866" s="9"/>
    </row>
    <row r="867" spans="3:5">
      <c r="C867" s="9"/>
      <c r="E867" s="9"/>
    </row>
    <row r="868" spans="3:5">
      <c r="C868" s="9"/>
      <c r="E868" s="9"/>
    </row>
    <row r="869" spans="3:5">
      <c r="C869" s="9"/>
      <c r="E869" s="9"/>
    </row>
    <row r="870" spans="3:5">
      <c r="C870" s="9"/>
      <c r="E870" s="9"/>
    </row>
    <row r="871" spans="3:5">
      <c r="C871" s="9"/>
      <c r="E871" s="9"/>
    </row>
    <row r="872" spans="3:5">
      <c r="C872" s="9"/>
      <c r="E872" s="9"/>
    </row>
    <row r="873" spans="3:5">
      <c r="C873" s="9"/>
      <c r="E873" s="9"/>
    </row>
    <row r="874" spans="3:5">
      <c r="C874" s="9"/>
      <c r="E874" s="9"/>
    </row>
    <row r="875" spans="3:5">
      <c r="C875" s="9"/>
      <c r="E875" s="9"/>
    </row>
    <row r="876" spans="3:5">
      <c r="C876" s="9"/>
      <c r="E876" s="9"/>
    </row>
    <row r="877" spans="3:5">
      <c r="C877" s="9"/>
      <c r="E877" s="9"/>
    </row>
    <row r="878" spans="3:5">
      <c r="C878" s="9"/>
      <c r="E878" s="9"/>
    </row>
    <row r="879" spans="3:5">
      <c r="C879" s="9"/>
      <c r="E879" s="9"/>
    </row>
    <row r="880" spans="3:5">
      <c r="C880" s="9"/>
      <c r="E880" s="9"/>
    </row>
    <row r="881" spans="3:5">
      <c r="C881" s="9"/>
      <c r="E881" s="9"/>
    </row>
    <row r="882" spans="3:5">
      <c r="C882" s="9"/>
      <c r="E882" s="9"/>
    </row>
    <row r="883" spans="3:5">
      <c r="C883" s="9"/>
      <c r="E883" s="9"/>
    </row>
    <row r="884" spans="3:5">
      <c r="C884" s="9"/>
      <c r="E884" s="9"/>
    </row>
    <row r="885" spans="3:5">
      <c r="C885" s="9"/>
      <c r="E885" s="9"/>
    </row>
    <row r="886" spans="3:5">
      <c r="C886" s="9"/>
      <c r="E886" s="9"/>
    </row>
    <row r="887" spans="3:5">
      <c r="C887" s="9"/>
      <c r="E887" s="9"/>
    </row>
    <row r="888" spans="3:5">
      <c r="C888" s="9"/>
      <c r="E888" s="9"/>
    </row>
    <row r="889" spans="3:5">
      <c r="C889" s="9"/>
      <c r="E889" s="9"/>
    </row>
    <row r="890" spans="3:5">
      <c r="C890" s="9"/>
      <c r="E890" s="9"/>
    </row>
    <row r="891" spans="3:5">
      <c r="C891" s="9"/>
      <c r="E891" s="9"/>
    </row>
    <row r="892" spans="3:5">
      <c r="C892" s="9"/>
      <c r="E892" s="9"/>
    </row>
    <row r="893" spans="3:5">
      <c r="C893" s="9"/>
      <c r="E893" s="9"/>
    </row>
    <row r="894" spans="3:5">
      <c r="C894" s="9"/>
      <c r="E894" s="9"/>
    </row>
    <row r="895" spans="3:5">
      <c r="C895" s="9"/>
      <c r="E895" s="9"/>
    </row>
    <row r="896" spans="3:5">
      <c r="C896" s="9"/>
      <c r="E896" s="9"/>
    </row>
    <row r="897" spans="3:5">
      <c r="C897" s="9"/>
      <c r="E897" s="9"/>
    </row>
    <row r="898" spans="3:5">
      <c r="C898" s="9"/>
      <c r="E898" s="9"/>
    </row>
    <row r="899" spans="3:5">
      <c r="C899" s="9"/>
      <c r="E899" s="9"/>
    </row>
    <row r="900" spans="3:5">
      <c r="C900" s="9"/>
      <c r="E900" s="9"/>
    </row>
    <row r="901" spans="3:5">
      <c r="C901" s="9"/>
      <c r="E901" s="9"/>
    </row>
    <row r="902" spans="3:5">
      <c r="C902" s="9"/>
      <c r="E902" s="9"/>
    </row>
    <row r="903" spans="3:5">
      <c r="C903" s="9"/>
      <c r="E903" s="9"/>
    </row>
    <row r="904" spans="3:5">
      <c r="C904" s="9"/>
      <c r="E904" s="9"/>
    </row>
    <row r="905" spans="3:5">
      <c r="C905" s="9"/>
      <c r="E905" s="9"/>
    </row>
    <row r="906" spans="3:5">
      <c r="C906" s="9"/>
      <c r="E906" s="9"/>
    </row>
    <row r="907" spans="3:5">
      <c r="C907" s="9"/>
      <c r="E907" s="9"/>
    </row>
    <row r="908" spans="3:5">
      <c r="C908" s="9"/>
      <c r="E908" s="9"/>
    </row>
    <row r="909" spans="3:5">
      <c r="C909" s="9"/>
      <c r="E909" s="9"/>
    </row>
    <row r="910" spans="3:5">
      <c r="C910" s="9"/>
      <c r="E910" s="9"/>
    </row>
    <row r="911" spans="3:5">
      <c r="C911" s="9"/>
      <c r="E911" s="9"/>
    </row>
    <row r="912" spans="3:5">
      <c r="C912" s="9"/>
      <c r="E912" s="9"/>
    </row>
    <row r="913" spans="3:5">
      <c r="C913" s="9"/>
      <c r="E913" s="9"/>
    </row>
    <row r="914" spans="3:5">
      <c r="C914" s="9"/>
      <c r="E914" s="9"/>
    </row>
    <row r="915" spans="3:5">
      <c r="C915" s="9"/>
      <c r="E915" s="9"/>
    </row>
    <row r="916" spans="3:5">
      <c r="C916" s="9"/>
      <c r="E916" s="9"/>
    </row>
    <row r="917" spans="3:5">
      <c r="C917" s="9"/>
      <c r="E917" s="9"/>
    </row>
    <row r="918" spans="3:5">
      <c r="C918" s="9"/>
      <c r="E918" s="9"/>
    </row>
    <row r="919" spans="3:5">
      <c r="C919" s="9"/>
      <c r="E919" s="9"/>
    </row>
    <row r="920" spans="3:5">
      <c r="C920" s="9"/>
      <c r="E920" s="9"/>
    </row>
    <row r="921" spans="3:5">
      <c r="C921" s="9"/>
      <c r="E921" s="9"/>
    </row>
    <row r="922" spans="3:5">
      <c r="C922" s="9"/>
      <c r="E922" s="9"/>
    </row>
    <row r="923" spans="3:5">
      <c r="C923" s="9"/>
      <c r="E923" s="9"/>
    </row>
    <row r="924" spans="3:5">
      <c r="C924" s="9"/>
      <c r="E924" s="9"/>
    </row>
    <row r="925" spans="3:5">
      <c r="C925" s="9"/>
      <c r="E925" s="9"/>
    </row>
    <row r="926" spans="3:5">
      <c r="C926" s="9"/>
      <c r="E926" s="9"/>
    </row>
    <row r="927" spans="3:5">
      <c r="C927" s="9"/>
      <c r="E927" s="9"/>
    </row>
    <row r="928" spans="3:5">
      <c r="C928" s="9"/>
      <c r="E928" s="9"/>
    </row>
    <row r="929" spans="3:5">
      <c r="C929" s="9"/>
      <c r="E929" s="9"/>
    </row>
    <row r="930" spans="3:5">
      <c r="C930" s="9"/>
      <c r="E930" s="9"/>
    </row>
    <row r="931" spans="3:5">
      <c r="C931" s="9"/>
      <c r="E931" s="9"/>
    </row>
    <row r="932" spans="3:5">
      <c r="C932" s="9"/>
      <c r="E932" s="9"/>
    </row>
    <row r="933" spans="3:5">
      <c r="C933" s="9"/>
      <c r="E933" s="9"/>
    </row>
    <row r="934" spans="3:5">
      <c r="C934" s="9"/>
      <c r="E934" s="9"/>
    </row>
    <row r="935" spans="3:5">
      <c r="C935" s="9"/>
      <c r="E935" s="9"/>
    </row>
    <row r="936" spans="3:5">
      <c r="C936" s="9"/>
      <c r="E936" s="9"/>
    </row>
    <row r="937" spans="3:5">
      <c r="C937" s="9"/>
      <c r="E937" s="9"/>
    </row>
    <row r="938" spans="3:5">
      <c r="C938" s="9"/>
      <c r="E938" s="9"/>
    </row>
    <row r="939" spans="3:5">
      <c r="C939" s="9"/>
      <c r="E939" s="9"/>
    </row>
    <row r="940" spans="3:5">
      <c r="C940" s="9"/>
      <c r="E940" s="9"/>
    </row>
    <row r="941" spans="3:5">
      <c r="C941" s="9"/>
      <c r="E941" s="9"/>
    </row>
    <row r="942" spans="3:5">
      <c r="C942" s="9"/>
      <c r="E942" s="9"/>
    </row>
    <row r="943" spans="3:5">
      <c r="C943" s="9"/>
      <c r="E943" s="9"/>
    </row>
    <row r="944" spans="3:5">
      <c r="C944" s="9"/>
      <c r="E944" s="9"/>
    </row>
    <row r="945" spans="3:5">
      <c r="C945" s="9"/>
      <c r="E945" s="9"/>
    </row>
    <row r="946" spans="3:5">
      <c r="C946" s="9"/>
      <c r="E946" s="9"/>
    </row>
    <row r="947" spans="3:5">
      <c r="C947" s="9"/>
      <c r="E947" s="9"/>
    </row>
    <row r="948" spans="3:5">
      <c r="C948" s="9"/>
      <c r="E948" s="9"/>
    </row>
    <row r="949" spans="3:5">
      <c r="C949" s="9"/>
      <c r="E949" s="9"/>
    </row>
    <row r="950" spans="3:5">
      <c r="C950" s="9"/>
      <c r="E950" s="9"/>
    </row>
    <row r="951" spans="3:5">
      <c r="C951" s="9"/>
      <c r="E951" s="9"/>
    </row>
    <row r="952" spans="3:5">
      <c r="C952" s="9"/>
      <c r="E952" s="9"/>
    </row>
    <row r="953" spans="3:5">
      <c r="C953" s="9"/>
      <c r="E953" s="9"/>
    </row>
    <row r="954" spans="3:5">
      <c r="C954" s="9"/>
      <c r="E954" s="9"/>
    </row>
    <row r="955" spans="3:5">
      <c r="C955" s="9"/>
      <c r="E955" s="9"/>
    </row>
    <row r="956" spans="3:5">
      <c r="C956" s="9"/>
      <c r="E956" s="9"/>
    </row>
    <row r="957" spans="3:5">
      <c r="C957" s="9"/>
      <c r="E957" s="9"/>
    </row>
    <row r="958" spans="3:5">
      <c r="C958" s="9"/>
      <c r="E958" s="9"/>
    </row>
    <row r="959" spans="3:5">
      <c r="C959" s="9"/>
      <c r="E959" s="9"/>
    </row>
    <row r="960" spans="3:5">
      <c r="C960" s="9"/>
      <c r="E960" s="9"/>
    </row>
    <row r="961" spans="3:5">
      <c r="C961" s="9"/>
      <c r="E961" s="9"/>
    </row>
    <row r="962" spans="3:5">
      <c r="C962" s="9"/>
      <c r="E962" s="9"/>
    </row>
    <row r="963" spans="3:5">
      <c r="C963" s="9"/>
      <c r="E963" s="9"/>
    </row>
    <row r="964" spans="3:5">
      <c r="C964" s="9"/>
      <c r="E964" s="9"/>
    </row>
    <row r="965" spans="3:5">
      <c r="C965" s="9"/>
      <c r="E965" s="9"/>
    </row>
    <row r="966" spans="3:5">
      <c r="C966" s="9"/>
      <c r="E966" s="9"/>
    </row>
    <row r="967" spans="3:5">
      <c r="C967" s="9"/>
      <c r="E967" s="9"/>
    </row>
    <row r="968" spans="3:5">
      <c r="C968" s="9"/>
      <c r="E968" s="9"/>
    </row>
    <row r="969" spans="3:5">
      <c r="C969" s="9"/>
      <c r="E969" s="9"/>
    </row>
    <row r="970" spans="3:5">
      <c r="C970" s="9"/>
      <c r="E970" s="9"/>
    </row>
    <row r="971" spans="3:5">
      <c r="C971" s="9"/>
      <c r="E971" s="9"/>
    </row>
    <row r="972" spans="3:5">
      <c r="C972" s="9"/>
      <c r="E972" s="9"/>
    </row>
    <row r="973" spans="3:5">
      <c r="C973" s="9"/>
      <c r="E973" s="9"/>
    </row>
    <row r="974" spans="3:5">
      <c r="C974" s="9"/>
      <c r="E974" s="9"/>
    </row>
    <row r="975" spans="3:5">
      <c r="C975" s="9"/>
      <c r="E975" s="9"/>
    </row>
    <row r="976" spans="3:5">
      <c r="C976" s="9"/>
      <c r="E976" s="9"/>
    </row>
    <row r="977" spans="3:5">
      <c r="C977" s="9"/>
      <c r="E977" s="9"/>
    </row>
    <row r="978" spans="3:5">
      <c r="C978" s="9"/>
      <c r="E978" s="9"/>
    </row>
    <row r="979" spans="3:5">
      <c r="C979" s="9"/>
      <c r="E979" s="9"/>
    </row>
    <row r="980" spans="3:5">
      <c r="C980" s="9"/>
      <c r="E980" s="9"/>
    </row>
    <row r="981" spans="3:5">
      <c r="C981" s="9"/>
      <c r="E981" s="9"/>
    </row>
    <row r="982" spans="3:5">
      <c r="C982" s="9"/>
      <c r="E982" s="9"/>
    </row>
    <row r="983" spans="3:5">
      <c r="C983" s="9"/>
      <c r="E983" s="9"/>
    </row>
    <row r="984" spans="3:5">
      <c r="C984" s="9"/>
      <c r="E984" s="9"/>
    </row>
    <row r="985" spans="3:5">
      <c r="C985" s="9"/>
      <c r="E985" s="9"/>
    </row>
    <row r="986" spans="3:5">
      <c r="C986" s="9"/>
      <c r="E986" s="9"/>
    </row>
    <row r="987" spans="3:5">
      <c r="C987" s="9"/>
      <c r="E987" s="9"/>
    </row>
    <row r="988" spans="3:5">
      <c r="C988" s="9"/>
      <c r="E988" s="9"/>
    </row>
    <row r="989" spans="3:5">
      <c r="C989" s="9"/>
      <c r="E989" s="9"/>
    </row>
    <row r="990" spans="3:5">
      <c r="C990" s="9"/>
      <c r="E990" s="9"/>
    </row>
    <row r="991" spans="3:5">
      <c r="C991" s="9"/>
      <c r="E991" s="9"/>
    </row>
    <row r="992" spans="3:5">
      <c r="C992" s="9"/>
      <c r="E992" s="9"/>
    </row>
    <row r="993" spans="3:5">
      <c r="C993" s="9"/>
      <c r="E993" s="9"/>
    </row>
    <row r="994" spans="3:5">
      <c r="C994" s="9"/>
      <c r="E994" s="9"/>
    </row>
    <row r="995" spans="3:5">
      <c r="C995" s="9"/>
      <c r="E995" s="9"/>
    </row>
    <row r="996" spans="3:5">
      <c r="C996" s="9"/>
      <c r="E996" s="9"/>
    </row>
    <row r="997" spans="3:5">
      <c r="C997" s="9"/>
      <c r="E997" s="9"/>
    </row>
    <row r="998" spans="3:5">
      <c r="C998" s="9"/>
      <c r="E998" s="9"/>
    </row>
    <row r="999" spans="3:5">
      <c r="C999" s="9"/>
      <c r="E999" s="9"/>
    </row>
    <row r="1000" spans="3:5">
      <c r="C1000" s="9"/>
      <c r="E1000" s="9"/>
    </row>
  </sheetData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1000"/>
  <sheetViews>
    <sheetView workbookViewId="0"/>
  </sheetViews>
  <sheetFormatPr defaultColWidth="12.5703125" defaultRowHeight="15.75" customHeight="1"/>
  <cols>
    <col min="1" max="1" width="25" customWidth="1"/>
    <col min="2" max="2" width="44.28515625" customWidth="1"/>
    <col min="3" max="3" width="37.140625" customWidth="1"/>
    <col min="4" max="4" width="8.42578125" customWidth="1"/>
    <col min="5" max="5" width="55.7109375" customWidth="1"/>
    <col min="6" max="6" width="8.42578125" customWidth="1"/>
    <col min="7" max="7" width="13.28515625" customWidth="1"/>
    <col min="8" max="8" width="9.42578125" customWidth="1"/>
  </cols>
  <sheetData>
    <row r="1" spans="1:8">
      <c r="A1" s="1" t="s">
        <v>0</v>
      </c>
      <c r="B1" s="2"/>
      <c r="C1" s="3"/>
      <c r="D1" s="2"/>
      <c r="E1" s="3"/>
      <c r="F1" s="2"/>
      <c r="G1" s="2"/>
      <c r="H1" s="2"/>
    </row>
    <row r="2" spans="1:8">
      <c r="A2" s="4" t="s">
        <v>1</v>
      </c>
      <c r="B2" s="2"/>
      <c r="C2" s="3"/>
      <c r="D2" s="2"/>
      <c r="E2" s="3"/>
      <c r="F2" s="2"/>
      <c r="G2" s="2"/>
      <c r="H2" s="2"/>
    </row>
    <row r="3" spans="1:8">
      <c r="A3" s="5">
        <f ca="1">NOW()</f>
        <v>46118.620961574074</v>
      </c>
      <c r="B3" s="2"/>
      <c r="C3" s="3"/>
      <c r="D3" s="2"/>
      <c r="E3" s="3"/>
      <c r="F3" s="2"/>
      <c r="G3" s="2"/>
      <c r="H3" s="2"/>
    </row>
    <row r="4" spans="1:8">
      <c r="A4" s="4" t="s">
        <v>2</v>
      </c>
      <c r="B4" s="2"/>
      <c r="C4" s="3"/>
      <c r="D4" s="2"/>
      <c r="E4" s="3"/>
      <c r="F4" s="2"/>
      <c r="G4" s="2"/>
      <c r="H4" s="2"/>
    </row>
    <row r="5" spans="1:8">
      <c r="A5" s="4" t="s">
        <v>3</v>
      </c>
      <c r="B5" s="2"/>
      <c r="C5" s="3"/>
      <c r="D5" s="2"/>
      <c r="E5" s="3"/>
      <c r="F5" s="2"/>
      <c r="G5" s="2"/>
      <c r="H5" s="2"/>
    </row>
    <row r="6" spans="1:8">
      <c r="A6" s="6" t="s">
        <v>4</v>
      </c>
      <c r="B6" s="6" t="s">
        <v>5</v>
      </c>
      <c r="C6" s="7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6" t="s">
        <v>11</v>
      </c>
    </row>
    <row r="7" spans="1:8">
      <c r="A7" s="8" t="str">
        <f ca="1">IFERROR(__xludf.DUMMYFUNCTION("FILTER(IMPORTRANGE(""https://docs.google.com/spreadsheets/d/1sJXqJAqoqS15wvfnSlYqAhIS5H8gfmcPrvi7oU2Wans/edit#gid=806267711"",""Sheet1!A:H""),INDEX(IMPORTRANGE(""https://docs.google.com/spreadsheets/d/1sJXqJAqoqS15wvfnSlYqAhIS5H8gfmcPrvi7oU2Wans/edit#gid="&amp;"806267711"",""Sheet1!A:H""),0,6)=""AUD"")"),"AS-BASE-PV")</f>
        <v>AS-BASE-PV</v>
      </c>
      <c r="B7" s="8" t="str">
        <f ca="1">IFERROR(__xludf.DUMMYFUNCTION("""COMPUTED_VALUE"""),"Annual Plan AS-BASE-PV")</f>
        <v>Annual Plan AS-BASE-PV</v>
      </c>
      <c r="C7" s="9" t="str">
        <f ca="1">IFERROR(__xludf.DUMMYFUNCTION("""COMPUTED_VALUE"""),"Platform")</f>
        <v>Platform</v>
      </c>
      <c r="D7" s="8" t="str">
        <f ca="1">IFERROR(__xludf.DUMMYFUNCTION("""COMPUTED_VALUE"""),"Recurring")</f>
        <v>Recurring</v>
      </c>
      <c r="E7" s="9" t="str">
        <f ca="1">IFERROR(__xludf.DUMMYFUNCTION("""COMPUTED_VALUE"""),"Appspace Base Private Cloud Subscription. Provides cloud access to the base Appspace platform for use with compatible a la carte add-ons.")</f>
        <v>Appspace Base Private Cloud Subscription. Provides cloud access to the base Appspace platform for use with compatible a la carte add-ons.</v>
      </c>
      <c r="F7" s="10" t="str">
        <f ca="1">IFERROR(__xludf.DUMMYFUNCTION("""COMPUTED_VALUE"""),"AUD")</f>
        <v>AUD</v>
      </c>
      <c r="G7" s="10">
        <f ca="1">IFERROR(__xludf.DUMMYFUNCTION("""COMPUTED_VALUE"""),1269)</f>
        <v>1269</v>
      </c>
      <c r="H7" s="10">
        <f ca="1">IFERROR(__xludf.DUMMYFUNCTION("""COMPUTED_VALUE"""),15228)</f>
        <v>15228</v>
      </c>
    </row>
    <row r="8" spans="1:8">
      <c r="A8" s="8" t="str">
        <f ca="1">IFERROR(__xludf.DUMMYFUNCTION("""COMPUTED_VALUE"""),"AS-BW-GB")</f>
        <v>AS-BW-GB</v>
      </c>
      <c r="B8" s="8" t="str">
        <f ca="1">IFERROR(__xludf.DUMMYFUNCTION("""COMPUTED_VALUE"""),"Annual Plan AS-BW-GB")</f>
        <v>Annual Plan AS-BW-GB</v>
      </c>
      <c r="C8" s="9" t="str">
        <f ca="1">IFERROR(__xludf.DUMMYFUNCTION("""COMPUTED_VALUE"""),"Bandwidth")</f>
        <v>Bandwidth</v>
      </c>
      <c r="D8" s="8" t="str">
        <f ca="1">IFERROR(__xludf.DUMMYFUNCTION("""COMPUTED_VALUE"""),"Recurring")</f>
        <v>Recurring</v>
      </c>
      <c r="E8" s="9" t="str">
        <f ca="1">IFERROR(__xludf.DUMMYFUNCTION("""COMPUTED_VALUE"""),"Monthly bandwidth allocation (1 GB/month)")</f>
        <v>Monthly bandwidth allocation (1 GB/month)</v>
      </c>
      <c r="F8" s="10" t="str">
        <f ca="1">IFERROR(__xludf.DUMMYFUNCTION("""COMPUTED_VALUE"""),"AUD")</f>
        <v>AUD</v>
      </c>
      <c r="G8" s="10">
        <f ca="1">IFERROR(__xludf.DUMMYFUNCTION("""COMPUTED_VALUE"""),0.24)</f>
        <v>0.24</v>
      </c>
      <c r="H8" s="10">
        <f ca="1">IFERROR(__xludf.DUMMYFUNCTION("""COMPUTED_VALUE"""),2.88)</f>
        <v>2.88</v>
      </c>
    </row>
    <row r="9" spans="1:8">
      <c r="A9" s="8" t="str">
        <f ca="1">IFERROR(__xludf.DUMMYFUNCTION("""COMPUTED_VALUE"""),"AS-BW-GB-1000")</f>
        <v>AS-BW-GB-1000</v>
      </c>
      <c r="B9" s="8" t="str">
        <f ca="1">IFERROR(__xludf.DUMMYFUNCTION("""COMPUTED_VALUE"""),"Annual Plan AS-BW-GB-1000")</f>
        <v>Annual Plan AS-BW-GB-1000</v>
      </c>
      <c r="C9" s="9" t="str">
        <f ca="1">IFERROR(__xludf.DUMMYFUNCTION("""COMPUTED_VALUE"""),"Bandwidth")</f>
        <v>Bandwidth</v>
      </c>
      <c r="D9" s="8" t="str">
        <f ca="1">IFERROR(__xludf.DUMMYFUNCTION("""COMPUTED_VALUE"""),"Recurring")</f>
        <v>Recurring</v>
      </c>
      <c r="E9" s="9" t="str">
        <f ca="1">IFERROR(__xludf.DUMMYFUNCTION("""COMPUTED_VALUE"""),"Monthly bandwidth allocation (1,000 GB/month)")</f>
        <v>Monthly bandwidth allocation (1,000 GB/month)</v>
      </c>
      <c r="F9" s="10" t="str">
        <f ca="1">IFERROR(__xludf.DUMMYFUNCTION("""COMPUTED_VALUE"""),"AUD")</f>
        <v>AUD</v>
      </c>
      <c r="G9" s="10">
        <f ca="1">IFERROR(__xludf.DUMMYFUNCTION("""COMPUTED_VALUE"""),220)</f>
        <v>220</v>
      </c>
      <c r="H9" s="10">
        <f ca="1">IFERROR(__xludf.DUMMYFUNCTION("""COMPUTED_VALUE"""),2640)</f>
        <v>2640</v>
      </c>
    </row>
    <row r="10" spans="1:8">
      <c r="A10" s="8" t="str">
        <f ca="1">IFERROR(__xludf.DUMMYFUNCTION("""COMPUTED_VALUE"""),"AS-BW-GB-500")</f>
        <v>AS-BW-GB-500</v>
      </c>
      <c r="B10" s="8" t="str">
        <f ca="1">IFERROR(__xludf.DUMMYFUNCTION("""COMPUTED_VALUE"""),"Annual Plan AS-BW-GB-500")</f>
        <v>Annual Plan AS-BW-GB-500</v>
      </c>
      <c r="C10" s="9" t="str">
        <f ca="1">IFERROR(__xludf.DUMMYFUNCTION("""COMPUTED_VALUE"""),"Bandwidth")</f>
        <v>Bandwidth</v>
      </c>
      <c r="D10" s="8" t="str">
        <f ca="1">IFERROR(__xludf.DUMMYFUNCTION("""COMPUTED_VALUE"""),"Recurring")</f>
        <v>Recurring</v>
      </c>
      <c r="E10" s="9" t="str">
        <f ca="1">IFERROR(__xludf.DUMMYFUNCTION("""COMPUTED_VALUE"""),"Monthly bandwidth allocation (500 GB/month)")</f>
        <v>Monthly bandwidth allocation (500 GB/month)</v>
      </c>
      <c r="F10" s="10" t="str">
        <f ca="1">IFERROR(__xludf.DUMMYFUNCTION("""COMPUTED_VALUE"""),"AUD")</f>
        <v>AUD</v>
      </c>
      <c r="G10" s="10">
        <f ca="1">IFERROR(__xludf.DUMMYFUNCTION("""COMPUTED_VALUE"""),118.48)</f>
        <v>118.48</v>
      </c>
      <c r="H10" s="10">
        <f ca="1">IFERROR(__xludf.DUMMYFUNCTION("""COMPUTED_VALUE"""),1421.76)</f>
        <v>1421.76</v>
      </c>
    </row>
    <row r="11" spans="1:8">
      <c r="A11" s="8" t="str">
        <f ca="1">IFERROR(__xludf.DUMMYFUNCTION("""COMPUTED_VALUE"""),"AS-EXPRESS-B-CL")</f>
        <v>AS-EXPRESS-B-CL</v>
      </c>
      <c r="B11" s="8" t="str">
        <f ca="1">IFERROR(__xludf.DUMMYFUNCTION("""COMPUTED_VALUE"""),"Annual Plan AS-EXPRESS-B-CL")</f>
        <v>Annual Plan AS-EXPRESS-B-CL</v>
      </c>
      <c r="C11" s="9" t="str">
        <f ca="1">IFERROR(__xludf.DUMMYFUNCTION("""COMPUTED_VALUE"""),"Platform")</f>
        <v>Platform</v>
      </c>
      <c r="D11" s="8" t="str">
        <f ca="1">IFERROR(__xludf.DUMMYFUNCTION("""COMPUTED_VALUE"""),"Recurring")</f>
        <v>Recurring</v>
      </c>
      <c r="E11" s="9" t="str">
        <f ca="1">IFERROR(__xludf.DUMMYFUNCTION("""COMPUTED_VALUE"""),"Appspace Express Cloud Subscription. Appspace Cloud access to the Appspace Express features for 25 devices, Advanced Support, 25 GB cloud storage, and 25 GB/month cloud bandwidth.")</f>
        <v>Appspace Express Cloud Subscription. Appspace Cloud access to the Appspace Express features for 25 devices, Advanced Support, 25 GB cloud storage, and 25 GB/month cloud bandwidth.</v>
      </c>
      <c r="F11" s="10" t="str">
        <f ca="1">IFERROR(__xludf.DUMMYFUNCTION("""COMPUTED_VALUE"""),"AUD")</f>
        <v>AUD</v>
      </c>
      <c r="G11" s="10">
        <f ca="1">IFERROR(__xludf.DUMMYFUNCTION("""COMPUTED_VALUE"""),1879)</f>
        <v>1879</v>
      </c>
      <c r="H11" s="10">
        <f ca="1">IFERROR(__xludf.DUMMYFUNCTION("""COMPUTED_VALUE"""),22548)</f>
        <v>22548</v>
      </c>
    </row>
    <row r="12" spans="1:8">
      <c r="A12" s="8" t="str">
        <f ca="1">IFERROR(__xludf.DUMMYFUNCTION("""COMPUTED_VALUE"""),"AS-ID-DVC-B-CL-1")</f>
        <v>AS-ID-DVC-B-CL-1</v>
      </c>
      <c r="B12" s="8" t="str">
        <f ca="1">IFERROR(__xludf.DUMMYFUNCTION("""COMPUTED_VALUE"""),"Annual Plan AS-ID-DVC-B-CL-1")</f>
        <v>Annual Plan AS-ID-DVC-B-CL-1</v>
      </c>
      <c r="C12" s="9" t="str">
        <f ca="1">IFERROR(__xludf.DUMMYFUNCTION("""COMPUTED_VALUE"""),"Device ID")</f>
        <v>Device ID</v>
      </c>
      <c r="D12" s="8" t="str">
        <f ca="1">IFERROR(__xludf.DUMMYFUNCTION("""COMPUTED_VALUE"""),"Recurring")</f>
        <v>Recurring</v>
      </c>
      <c r="E12" s="9" t="str">
        <f ca="1">IFERROR(__xludf.DUMMYFUNCTION("""COMPUTED_VALUE"""),"Single additional Device ID (for use with an Express-B cloud subscription)")</f>
        <v>Single additional Device ID (for use with an Express-B cloud subscription)</v>
      </c>
      <c r="F12" s="10" t="str">
        <f ca="1">IFERROR(__xludf.DUMMYFUNCTION("""COMPUTED_VALUE"""),"AUD")</f>
        <v>AUD</v>
      </c>
      <c r="G12" s="10">
        <f ca="1">IFERROR(__xludf.DUMMYFUNCTION("""COMPUTED_VALUE"""),96.48)</f>
        <v>96.48</v>
      </c>
      <c r="H12" s="10">
        <f ca="1">IFERROR(__xludf.DUMMYFUNCTION("""COMPUTED_VALUE"""),1157.76)</f>
        <v>1157.76</v>
      </c>
    </row>
    <row r="13" spans="1:8">
      <c r="A13" s="8" t="str">
        <f ca="1">IFERROR(__xludf.DUMMYFUNCTION("""COMPUTED_VALUE"""),"AS-ID-DVC-CL-1")</f>
        <v>AS-ID-DVC-CL-1</v>
      </c>
      <c r="B13" s="8" t="str">
        <f ca="1">IFERROR(__xludf.DUMMYFUNCTION("""COMPUTED_VALUE"""),"Annual Plan AS-ID-DVC-CL-1")</f>
        <v>Annual Plan AS-ID-DVC-CL-1</v>
      </c>
      <c r="C13" s="9" t="str">
        <f ca="1">IFERROR(__xludf.DUMMYFUNCTION("""COMPUTED_VALUE"""),"Device ID")</f>
        <v>Device ID</v>
      </c>
      <c r="D13" s="8" t="str">
        <f ca="1">IFERROR(__xludf.DUMMYFUNCTION("""COMPUTED_VALUE"""),"Recurring")</f>
        <v>Recurring</v>
      </c>
      <c r="E13" s="9" t="str">
        <f ca="1">IFERROR(__xludf.DUMMYFUNCTION("""COMPUTED_VALUE"""),"Single additional Device ID (for use with a cloud subscription)")</f>
        <v>Single additional Device ID (for use with a cloud subscription)</v>
      </c>
      <c r="F13" s="10" t="str">
        <f ca="1">IFERROR(__xludf.DUMMYFUNCTION("""COMPUTED_VALUE"""),"AUD")</f>
        <v>AUD</v>
      </c>
      <c r="G13" s="8">
        <f ca="1">IFERROR(__xludf.DUMMYFUNCTION("""COMPUTED_VALUE"""),34.7)</f>
        <v>34.700000000000003</v>
      </c>
      <c r="H13" s="8">
        <f ca="1">IFERROR(__xludf.DUMMYFUNCTION("""COMPUTED_VALUE"""),416.4)</f>
        <v>416.4</v>
      </c>
    </row>
    <row r="14" spans="1:8">
      <c r="A14" s="8" t="str">
        <f ca="1">IFERROR(__xludf.DUMMYFUNCTION("""COMPUTED_VALUE"""),"AS-ID-DVC-F-CL-1")</f>
        <v>AS-ID-DVC-F-CL-1</v>
      </c>
      <c r="B14" s="8" t="str">
        <f ca="1">IFERROR(__xludf.DUMMYFUNCTION("""COMPUTED_VALUE"""),"Annual Plan AS-ID-DVC-F-CL-1")</f>
        <v>Annual Plan AS-ID-DVC-F-CL-1</v>
      </c>
      <c r="C14" s="9" t="str">
        <f ca="1">IFERROR(__xludf.DUMMYFUNCTION("""COMPUTED_VALUE"""),"Device ID")</f>
        <v>Device ID</v>
      </c>
      <c r="D14" s="8" t="str">
        <f ca="1">IFERROR(__xludf.DUMMYFUNCTION("""COMPUTED_VALUE"""),"Recurring")</f>
        <v>Recurring</v>
      </c>
      <c r="E14" s="9" t="str">
        <f ca="1">IFERROR(__xludf.DUMMYFUNCTION("""COMPUTED_VALUE"""),"Single additional Device ID (for use with an Omni-F cloud subscription)")</f>
        <v>Single additional Device ID (for use with an Omni-F cloud subscription)</v>
      </c>
      <c r="F14" s="10" t="str">
        <f ca="1">IFERROR(__xludf.DUMMYFUNCTION("""COMPUTED_VALUE"""),"AUD")</f>
        <v>AUD</v>
      </c>
      <c r="G14" s="10">
        <f ca="1">IFERROR(__xludf.DUMMYFUNCTION("""COMPUTED_VALUE"""),12.27)</f>
        <v>12.27</v>
      </c>
      <c r="H14" s="10">
        <f ca="1">IFERROR(__xludf.DUMMYFUNCTION("""COMPUTED_VALUE"""),147.24)</f>
        <v>147.24</v>
      </c>
    </row>
    <row r="15" spans="1:8">
      <c r="A15" s="8" t="str">
        <f ca="1">IFERROR(__xludf.DUMMYFUNCTION("""COMPUTED_VALUE"""),"AS-ID-DVC-F-OP-1")</f>
        <v>AS-ID-DVC-F-OP-1</v>
      </c>
      <c r="B15" s="8" t="str">
        <f ca="1">IFERROR(__xludf.DUMMYFUNCTION("""COMPUTED_VALUE"""),"Annual Plan AS-ID-DVC-F-OP-1")</f>
        <v>Annual Plan AS-ID-DVC-F-OP-1</v>
      </c>
      <c r="C15" s="9" t="str">
        <f ca="1">IFERROR(__xludf.DUMMYFUNCTION("""COMPUTED_VALUE"""),"Device ID")</f>
        <v>Device ID</v>
      </c>
      <c r="D15" s="8" t="str">
        <f ca="1">IFERROR(__xludf.DUMMYFUNCTION("""COMPUTED_VALUE"""),"Recurring")</f>
        <v>Recurring</v>
      </c>
      <c r="E15" s="9" t="str">
        <f ca="1">IFERROR(__xludf.DUMMYFUNCTION("""COMPUTED_VALUE"""),"Single additional Device ID (for use with an Omni-F on-prem subscription)")</f>
        <v>Single additional Device ID (for use with an Omni-F on-prem subscription)</v>
      </c>
      <c r="F15" s="10" t="str">
        <f ca="1">IFERROR(__xludf.DUMMYFUNCTION("""COMPUTED_VALUE"""),"AUD")</f>
        <v>AUD</v>
      </c>
      <c r="G15" s="10">
        <f ca="1">IFERROR(__xludf.DUMMYFUNCTION("""COMPUTED_VALUE"""),24.54)</f>
        <v>24.54</v>
      </c>
      <c r="H15" s="10">
        <f ca="1">IFERROR(__xludf.DUMMYFUNCTION("""COMPUTED_VALUE"""),294.48)</f>
        <v>294.48</v>
      </c>
    </row>
    <row r="16" spans="1:8">
      <c r="A16" s="8" t="str">
        <f ca="1">IFERROR(__xludf.DUMMYFUNCTION("""COMPUTED_VALUE"""),"AS-ID-DVC-F-PV-1")</f>
        <v>AS-ID-DVC-F-PV-1</v>
      </c>
      <c r="B16" s="8" t="str">
        <f ca="1">IFERROR(__xludf.DUMMYFUNCTION("""COMPUTED_VALUE"""),"Annual Plan AS-ID-DVC-F-PV-1")</f>
        <v>Annual Plan AS-ID-DVC-F-PV-1</v>
      </c>
      <c r="C16" s="9" t="str">
        <f ca="1">IFERROR(__xludf.DUMMYFUNCTION("""COMPUTED_VALUE"""),"Device ID")</f>
        <v>Device ID</v>
      </c>
      <c r="D16" s="8" t="str">
        <f ca="1">IFERROR(__xludf.DUMMYFUNCTION("""COMPUTED_VALUE"""),"Recurring")</f>
        <v>Recurring</v>
      </c>
      <c r="E16" s="9" t="str">
        <f ca="1">IFERROR(__xludf.DUMMYFUNCTION("""COMPUTED_VALUE"""),"Single additional Device ID (for use with an Omni-F private cloud subscription)")</f>
        <v>Single additional Device ID (for use with an Omni-F private cloud subscription)</v>
      </c>
      <c r="F16" s="10" t="str">
        <f ca="1">IFERROR(__xludf.DUMMYFUNCTION("""COMPUTED_VALUE"""),"AUD")</f>
        <v>AUD</v>
      </c>
      <c r="G16" s="10">
        <f ca="1">IFERROR(__xludf.DUMMYFUNCTION("""COMPUTED_VALUE"""),18.41)</f>
        <v>18.41</v>
      </c>
      <c r="H16" s="10">
        <f ca="1">IFERROR(__xludf.DUMMYFUNCTION("""COMPUTED_VALUE"""),220.92)</f>
        <v>220.92</v>
      </c>
    </row>
    <row r="17" spans="1:8">
      <c r="A17" s="8" t="str">
        <f ca="1">IFERROR(__xludf.DUMMYFUNCTION("""COMPUTED_VALUE"""),"AS-ID-DVC-OP-1")</f>
        <v>AS-ID-DVC-OP-1</v>
      </c>
      <c r="B17" s="8" t="str">
        <f ca="1">IFERROR(__xludf.DUMMYFUNCTION("""COMPUTED_VALUE"""),"Annual Plan AS-ID-DVC-OP-1")</f>
        <v>Annual Plan AS-ID-DVC-OP-1</v>
      </c>
      <c r="C17" s="9" t="str">
        <f ca="1">IFERROR(__xludf.DUMMYFUNCTION("""COMPUTED_VALUE"""),"Device ID")</f>
        <v>Device ID</v>
      </c>
      <c r="D17" s="8" t="str">
        <f ca="1">IFERROR(__xludf.DUMMYFUNCTION("""COMPUTED_VALUE"""),"Recurring")</f>
        <v>Recurring</v>
      </c>
      <c r="E17" s="9" t="str">
        <f ca="1">IFERROR(__xludf.DUMMYFUNCTION("""COMPUTED_VALUE"""),"Single additional Device ID (for use with an on-prem subscription)")</f>
        <v>Single additional Device ID (for use with an on-prem subscription)</v>
      </c>
      <c r="F17" s="10" t="str">
        <f ca="1">IFERROR(__xludf.DUMMYFUNCTION("""COMPUTED_VALUE"""),"AUD")</f>
        <v>AUD</v>
      </c>
      <c r="G17" s="10">
        <f ca="1">IFERROR(__xludf.DUMMYFUNCTION("""COMPUTED_VALUE"""),69.39)</f>
        <v>69.39</v>
      </c>
      <c r="H17" s="10">
        <f ca="1">IFERROR(__xludf.DUMMYFUNCTION("""COMPUTED_VALUE"""),832.68)</f>
        <v>832.68</v>
      </c>
    </row>
    <row r="18" spans="1:8">
      <c r="A18" s="8" t="str">
        <f ca="1">IFERROR(__xludf.DUMMYFUNCTION("""COMPUTED_VALUE"""),"AS-ID-DVC-PV-1")</f>
        <v>AS-ID-DVC-PV-1</v>
      </c>
      <c r="B18" s="8" t="str">
        <f ca="1">IFERROR(__xludf.DUMMYFUNCTION("""COMPUTED_VALUE"""),"Annual Plan AS-ID-DVC-PV-1")</f>
        <v>Annual Plan AS-ID-DVC-PV-1</v>
      </c>
      <c r="C18" s="9" t="str">
        <f ca="1">IFERROR(__xludf.DUMMYFUNCTION("""COMPUTED_VALUE"""),"Device ID")</f>
        <v>Device ID</v>
      </c>
      <c r="D18" s="8" t="str">
        <f ca="1">IFERROR(__xludf.DUMMYFUNCTION("""COMPUTED_VALUE"""),"Recurring")</f>
        <v>Recurring</v>
      </c>
      <c r="E18" s="9" t="str">
        <f ca="1">IFERROR(__xludf.DUMMYFUNCTION("""COMPUTED_VALUE"""),"Single additional Device ID (for use with a private cloud subscription)")</f>
        <v>Single additional Device ID (for use with a private cloud subscription)</v>
      </c>
      <c r="F18" s="10" t="str">
        <f ca="1">IFERROR(__xludf.DUMMYFUNCTION("""COMPUTED_VALUE"""),"AUD")</f>
        <v>AUD</v>
      </c>
      <c r="G18" s="10">
        <f ca="1">IFERROR(__xludf.DUMMYFUNCTION("""COMPUTED_VALUE"""),52.05)</f>
        <v>52.05</v>
      </c>
      <c r="H18" s="10">
        <f ca="1">IFERROR(__xludf.DUMMYFUNCTION("""COMPUTED_VALUE"""),624.6)</f>
        <v>624.6</v>
      </c>
    </row>
    <row r="19" spans="1:8">
      <c r="A19" s="8" t="str">
        <f ca="1">IFERROR(__xludf.DUMMYFUNCTION("""COMPUTED_VALUE"""),"AS-IG-AH-1UL")</f>
        <v>AS-IG-AH-1UL</v>
      </c>
      <c r="B19" s="8" t="str">
        <f ca="1">IFERROR(__xludf.DUMMYFUNCTION("""COMPUTED_VALUE"""),"Quarterly Plan AS-IG-AH-1UL")</f>
        <v>Quarterly Plan AS-IG-AH-1UL</v>
      </c>
      <c r="C19" s="9" t="str">
        <f ca="1">IFERROR(__xludf.DUMMYFUNCTION("""COMPUTED_VALUE"""),"Igloo License")</f>
        <v>Igloo License</v>
      </c>
      <c r="D19" s="8" t="str">
        <f ca="1">IFERROR(__xludf.DUMMYFUNCTION("""COMPUTED_VALUE"""),"Recurring")</f>
        <v>Recurring</v>
      </c>
      <c r="E19" s="9" t="str">
        <f ca="1">IFERROR(__xludf.DUMMYFUNCTION("""COMPUTED_VALUE"""),"Authorized User Licenses")</f>
        <v>Authorized User Licenses</v>
      </c>
      <c r="F19" s="10" t="str">
        <f ca="1">IFERROR(__xludf.DUMMYFUNCTION("""COMPUTED_VALUE"""),"AUD")</f>
        <v>AUD</v>
      </c>
      <c r="G19" s="10">
        <f ca="1">IFERROR(__xludf.DUMMYFUNCTION("""COMPUTED_VALUE"""),10.16)</f>
        <v>10.16</v>
      </c>
      <c r="H19" s="10">
        <f ca="1">IFERROR(__xludf.DUMMYFUNCTION("""COMPUTED_VALUE"""),121.92)</f>
        <v>121.92</v>
      </c>
    </row>
    <row r="20" spans="1:8">
      <c r="A20" s="8" t="str">
        <f ca="1">IFERROR(__xludf.DUMMYFUNCTION("""COMPUTED_VALUE"""),"AS-IG-AH-1UL")</f>
        <v>AS-IG-AH-1UL</v>
      </c>
      <c r="B20" s="8" t="str">
        <f ca="1">IFERROR(__xludf.DUMMYFUNCTION("""COMPUTED_VALUE"""),"Annual Plan AS-IG-AH-1UL")</f>
        <v>Annual Plan AS-IG-AH-1UL</v>
      </c>
      <c r="C20" s="9" t="str">
        <f ca="1">IFERROR(__xludf.DUMMYFUNCTION("""COMPUTED_VALUE"""),"Igloo License")</f>
        <v>Igloo License</v>
      </c>
      <c r="D20" s="8" t="str">
        <f ca="1">IFERROR(__xludf.DUMMYFUNCTION("""COMPUTED_VALUE"""),"Recurring")</f>
        <v>Recurring</v>
      </c>
      <c r="E20" s="9" t="str">
        <f ca="1">IFERROR(__xludf.DUMMYFUNCTION("""COMPUTED_VALUE"""),"Authorized User Licenses")</f>
        <v>Authorized User Licenses</v>
      </c>
      <c r="F20" s="10" t="str">
        <f ca="1">IFERROR(__xludf.DUMMYFUNCTION("""COMPUTED_VALUE"""),"AUD")</f>
        <v>AUD</v>
      </c>
      <c r="G20" s="10">
        <f ca="1">IFERROR(__xludf.DUMMYFUNCTION("""COMPUTED_VALUE"""),10.16)</f>
        <v>10.16</v>
      </c>
      <c r="H20" s="10">
        <f ca="1">IFERROR(__xludf.DUMMYFUNCTION("""COMPUTED_VALUE"""),121.92)</f>
        <v>121.92</v>
      </c>
    </row>
    <row r="21" spans="1:8">
      <c r="A21" s="8" t="str">
        <f ca="1">IFERROR(__xludf.DUMMYFUNCTION("""COMPUTED_VALUE"""),"AS-IG-AH-1UL")</f>
        <v>AS-IG-AH-1UL</v>
      </c>
      <c r="B21" s="8" t="str">
        <f ca="1">IFERROR(__xludf.DUMMYFUNCTION("""COMPUTED_VALUE"""),"Monthly Plan AS-IG-AH-1UL")</f>
        <v>Monthly Plan AS-IG-AH-1UL</v>
      </c>
      <c r="C21" s="9" t="str">
        <f ca="1">IFERROR(__xludf.DUMMYFUNCTION("""COMPUTED_VALUE"""),"Igloo License")</f>
        <v>Igloo License</v>
      </c>
      <c r="D21" s="8" t="str">
        <f ca="1">IFERROR(__xludf.DUMMYFUNCTION("""COMPUTED_VALUE"""),"Recurring")</f>
        <v>Recurring</v>
      </c>
      <c r="E21" s="9" t="str">
        <f ca="1">IFERROR(__xludf.DUMMYFUNCTION("""COMPUTED_VALUE"""),"Authorized User Licenses")</f>
        <v>Authorized User Licenses</v>
      </c>
      <c r="F21" s="10" t="str">
        <f ca="1">IFERROR(__xludf.DUMMYFUNCTION("""COMPUTED_VALUE"""),"AUD")</f>
        <v>AUD</v>
      </c>
      <c r="G21" s="10">
        <f ca="1">IFERROR(__xludf.DUMMYFUNCTION("""COMPUTED_VALUE"""),10.16)</f>
        <v>10.16</v>
      </c>
      <c r="H21" s="10">
        <f ca="1">IFERROR(__xludf.DUMMYFUNCTION("""COMPUTED_VALUE"""),121.92)</f>
        <v>121.92</v>
      </c>
    </row>
    <row r="22" spans="1:8">
      <c r="A22" s="8" t="str">
        <f ca="1">IFERROR(__xludf.DUMMYFUNCTION("""COMPUTED_VALUE"""),"AS-IG-AO-B-BHAS")</f>
        <v>AS-IG-AO-B-BHAS</v>
      </c>
      <c r="B22" s="8" t="str">
        <f ca="1">IFERROR(__xludf.DUMMYFUNCTION("""COMPUTED_VALUE"""),"Quarterly Plan AS-IG-AO-B-BHAS")</f>
        <v>Quarterly Plan AS-IG-AO-B-BHAS</v>
      </c>
      <c r="C22" s="9" t="str">
        <f ca="1">IFERROR(__xludf.DUMMYFUNCTION("""COMPUTED_VALUE"""),"Basic Hub and Spoke")</f>
        <v>Basic Hub and Spoke</v>
      </c>
      <c r="D22" s="8" t="str">
        <f ca="1">IFERROR(__xludf.DUMMYFUNCTION("""COMPUTED_VALUE"""),"Recurring")</f>
        <v>Recurring</v>
      </c>
      <c r="E22" s="9" t="str">
        <f ca="1">IFERROR(__xludf.DUMMYFUNCTION("""COMPUTED_VALUE"""),"Basic Hub and Spoke Architecture")</f>
        <v>Basic Hub and Spoke Architecture</v>
      </c>
      <c r="F22" s="10" t="str">
        <f ca="1">IFERROR(__xludf.DUMMYFUNCTION("""COMPUTED_VALUE"""),"AUD")</f>
        <v>AUD</v>
      </c>
      <c r="G22" s="10">
        <f ca="1">IFERROR(__xludf.DUMMYFUNCTION("""COMPUTED_VALUE"""),3526)</f>
        <v>3526</v>
      </c>
      <c r="H22" s="10">
        <f ca="1">IFERROR(__xludf.DUMMYFUNCTION("""COMPUTED_VALUE"""),42312)</f>
        <v>42312</v>
      </c>
    </row>
    <row r="23" spans="1:8">
      <c r="A23" s="8" t="str">
        <f ca="1">IFERROR(__xludf.DUMMYFUNCTION("""COMPUTED_VALUE"""),"AS-IG-AO-B-HHAS")</f>
        <v>AS-IG-AO-B-HHAS</v>
      </c>
      <c r="B23" s="8" t="str">
        <f ca="1">IFERROR(__xludf.DUMMYFUNCTION("""COMPUTED_VALUE"""),"Quarterly Plan AS-IG-AO-B-HHAS")</f>
        <v>Quarterly Plan AS-IG-AO-B-HHAS</v>
      </c>
      <c r="C23" s="9" t="str">
        <f ca="1">IFERROR(__xludf.DUMMYFUNCTION("""COMPUTED_VALUE"""),"Networked Enterprise")</f>
        <v>Networked Enterprise</v>
      </c>
      <c r="D23" s="8" t="str">
        <f ca="1">IFERROR(__xludf.DUMMYFUNCTION("""COMPUTED_VALUE"""),"Recurring")</f>
        <v>Recurring</v>
      </c>
      <c r="E23" s="9" t="str">
        <f ca="1">IFERROR(__xludf.DUMMYFUNCTION("""COMPUTED_VALUE"""),"Networked Enterprise")</f>
        <v>Networked Enterprise</v>
      </c>
      <c r="F23" s="10" t="str">
        <f ca="1">IFERROR(__xludf.DUMMYFUNCTION("""COMPUTED_VALUE"""),"AUD")</f>
        <v>AUD</v>
      </c>
      <c r="G23" s="10">
        <f ca="1">IFERROR(__xludf.DUMMYFUNCTION("""COMPUTED_VALUE"""),253882)</f>
        <v>253882</v>
      </c>
      <c r="H23" s="10">
        <f ca="1">IFERROR(__xludf.DUMMYFUNCTION("""COMPUTED_VALUE"""),3046584)</f>
        <v>3046584</v>
      </c>
    </row>
    <row r="24" spans="1:8">
      <c r="A24" s="8" t="str">
        <f ca="1">IFERROR(__xludf.DUMMYFUNCTION("""COMPUTED_VALUE"""),"AS-IG-AO-B-HHAS")</f>
        <v>AS-IG-AO-B-HHAS</v>
      </c>
      <c r="B24" s="8" t="str">
        <f ca="1">IFERROR(__xludf.DUMMYFUNCTION("""COMPUTED_VALUE"""),"Annual Plan AS-IG-AO-B-HHAS")</f>
        <v>Annual Plan AS-IG-AO-B-HHAS</v>
      </c>
      <c r="C24" s="9" t="str">
        <f ca="1">IFERROR(__xludf.DUMMYFUNCTION("""COMPUTED_VALUE"""),"Networked Enterprise")</f>
        <v>Networked Enterprise</v>
      </c>
      <c r="D24" s="8" t="str">
        <f ca="1">IFERROR(__xludf.DUMMYFUNCTION("""COMPUTED_VALUE"""),"Recurring")</f>
        <v>Recurring</v>
      </c>
      <c r="E24" s="9" t="str">
        <f ca="1">IFERROR(__xludf.DUMMYFUNCTION("""COMPUTED_VALUE"""),"Networked Enterprise")</f>
        <v>Networked Enterprise</v>
      </c>
      <c r="F24" s="10" t="str">
        <f ca="1">IFERROR(__xludf.DUMMYFUNCTION("""COMPUTED_VALUE"""),"AUD")</f>
        <v>AUD</v>
      </c>
      <c r="G24" s="10">
        <f ca="1">IFERROR(__xludf.DUMMYFUNCTION("""COMPUTED_VALUE"""),253882)</f>
        <v>253882</v>
      </c>
      <c r="H24" s="10">
        <f ca="1">IFERROR(__xludf.DUMMYFUNCTION("""COMPUTED_VALUE"""),3046584)</f>
        <v>3046584</v>
      </c>
    </row>
    <row r="25" spans="1:8">
      <c r="A25" s="8" t="str">
        <f ca="1">IFERROR(__xludf.DUMMYFUNCTION("""COMPUTED_VALUE"""),"AS-IG-AO-B-HHASA")</f>
        <v>AS-IG-AO-B-HHASA</v>
      </c>
      <c r="B25" s="8" t="str">
        <f ca="1">IFERROR(__xludf.DUMMYFUNCTION("""COMPUTED_VALUE"""),"Quarterly Plan AS-IG-AO-B-HHASA")</f>
        <v>Quarterly Plan AS-IG-AO-B-HHASA</v>
      </c>
      <c r="C25" s="9" t="str">
        <f ca="1">IFERROR(__xludf.DUMMYFUNCTION("""COMPUTED_VALUE"""),"Additional Spokes")</f>
        <v>Additional Spokes</v>
      </c>
      <c r="D25" s="8" t="str">
        <f ca="1">IFERROR(__xludf.DUMMYFUNCTION("""COMPUTED_VALUE"""),"Recurring")</f>
        <v>Recurring</v>
      </c>
      <c r="E25" s="9" t="str">
        <f ca="1">IFERROR(__xludf.DUMMYFUNCTION("""COMPUTED_VALUE"""),"Hub and Spoke - Additional Spokes")</f>
        <v>Hub and Spoke - Additional Spokes</v>
      </c>
      <c r="F25" s="10" t="str">
        <f ca="1">IFERROR(__xludf.DUMMYFUNCTION("""COMPUTED_VALUE"""),"AUD")</f>
        <v>AUD</v>
      </c>
      <c r="G25" s="10">
        <f ca="1">IFERROR(__xludf.DUMMYFUNCTION("""COMPUTED_VALUE"""),8463)</f>
        <v>8463</v>
      </c>
      <c r="H25" s="10">
        <f ca="1">IFERROR(__xludf.DUMMYFUNCTION("""COMPUTED_VALUE"""),101556)</f>
        <v>101556</v>
      </c>
    </row>
    <row r="26" spans="1:8">
      <c r="A26" s="8" t="str">
        <f ca="1">IFERROR(__xludf.DUMMYFUNCTION("""COMPUTED_VALUE"""),"AS-IG-AO-B-HHASA")</f>
        <v>AS-IG-AO-B-HHASA</v>
      </c>
      <c r="B26" s="8" t="str">
        <f ca="1">IFERROR(__xludf.DUMMYFUNCTION("""COMPUTED_VALUE"""),"Annual Plan AS-IG-AO-B-HHASA")</f>
        <v>Annual Plan AS-IG-AO-B-HHASA</v>
      </c>
      <c r="C26" s="9" t="str">
        <f ca="1">IFERROR(__xludf.DUMMYFUNCTION("""COMPUTED_VALUE"""),"Additional Spokes")</f>
        <v>Additional Spokes</v>
      </c>
      <c r="D26" s="8" t="str">
        <f ca="1">IFERROR(__xludf.DUMMYFUNCTION("""COMPUTED_VALUE"""),"Recurring")</f>
        <v>Recurring</v>
      </c>
      <c r="E26" s="9" t="str">
        <f ca="1">IFERROR(__xludf.DUMMYFUNCTION("""COMPUTED_VALUE"""),"Hub and Spoke - Additional Spokes")</f>
        <v>Hub and Spoke - Additional Spokes</v>
      </c>
      <c r="F26" s="10" t="str">
        <f ca="1">IFERROR(__xludf.DUMMYFUNCTION("""COMPUTED_VALUE"""),"AUD")</f>
        <v>AUD</v>
      </c>
      <c r="G26" s="10">
        <f ca="1">IFERROR(__xludf.DUMMYFUNCTION("""COMPUTED_VALUE"""),8463)</f>
        <v>8463</v>
      </c>
      <c r="H26" s="10">
        <f ca="1">IFERROR(__xludf.DUMMYFUNCTION("""COMPUTED_VALUE"""),101556)</f>
        <v>101556</v>
      </c>
    </row>
    <row r="27" spans="1:8">
      <c r="A27" s="8" t="str">
        <f ca="1">IFERROR(__xludf.DUMMYFUNCTION("""COMPUTED_VALUE"""),"AS-IG-AO-B-HIPAA")</f>
        <v>AS-IG-AO-B-HIPAA</v>
      </c>
      <c r="B27" s="8" t="str">
        <f ca="1">IFERROR(__xludf.DUMMYFUNCTION("""COMPUTED_VALUE"""),"Quarterly Plan AS-IG-AO-B-HIPAA")</f>
        <v>Quarterly Plan AS-IG-AO-B-HIPAA</v>
      </c>
      <c r="C27" s="9" t="str">
        <f ca="1">IFERROR(__xludf.DUMMYFUNCTION("""COMPUTED_VALUE"""),"Security HIPAA")</f>
        <v>Security HIPAA</v>
      </c>
      <c r="D27" s="8" t="str">
        <f ca="1">IFERROR(__xludf.DUMMYFUNCTION("""COMPUTED_VALUE"""),"Recurring")</f>
        <v>Recurring</v>
      </c>
      <c r="E27" s="9" t="str">
        <f ca="1">IFERROR(__xludf.DUMMYFUNCTION("""COMPUTED_VALUE"""),"HIPAA Security Package")</f>
        <v>HIPAA Security Package</v>
      </c>
      <c r="F27" s="10" t="str">
        <f ca="1">IFERROR(__xludf.DUMMYFUNCTION("""COMPUTED_VALUE"""),"AUD")</f>
        <v>AUD</v>
      </c>
      <c r="G27" s="10">
        <f ca="1">IFERROR(__xludf.DUMMYFUNCTION("""COMPUTED_VALUE"""),1410)</f>
        <v>1410</v>
      </c>
      <c r="H27" s="10">
        <f ca="1">IFERROR(__xludf.DUMMYFUNCTION("""COMPUTED_VALUE"""),16920)</f>
        <v>16920</v>
      </c>
    </row>
    <row r="28" spans="1:8">
      <c r="A28" s="8" t="str">
        <f ca="1">IFERROR(__xludf.DUMMYFUNCTION("""COMPUTED_VALUE"""),"AS-IG-AO-B-HIPAA")</f>
        <v>AS-IG-AO-B-HIPAA</v>
      </c>
      <c r="B28" s="8" t="str">
        <f ca="1">IFERROR(__xludf.DUMMYFUNCTION("""COMPUTED_VALUE"""),"Annual Plan AS-IG-AO-B-HIPAA")</f>
        <v>Annual Plan AS-IG-AO-B-HIPAA</v>
      </c>
      <c r="C28" s="9" t="str">
        <f ca="1">IFERROR(__xludf.DUMMYFUNCTION("""COMPUTED_VALUE"""),"Security HIPAA")</f>
        <v>Security HIPAA</v>
      </c>
      <c r="D28" s="8" t="str">
        <f ca="1">IFERROR(__xludf.DUMMYFUNCTION("""COMPUTED_VALUE"""),"Recurring")</f>
        <v>Recurring</v>
      </c>
      <c r="E28" s="9" t="str">
        <f ca="1">IFERROR(__xludf.DUMMYFUNCTION("""COMPUTED_VALUE"""),"HIPAA Security Package")</f>
        <v>HIPAA Security Package</v>
      </c>
      <c r="F28" s="10" t="str">
        <f ca="1">IFERROR(__xludf.DUMMYFUNCTION("""COMPUTED_VALUE"""),"AUD")</f>
        <v>AUD</v>
      </c>
      <c r="G28" s="10">
        <f ca="1">IFERROR(__xludf.DUMMYFUNCTION("""COMPUTED_VALUE"""),1410)</f>
        <v>1410</v>
      </c>
      <c r="H28" s="10">
        <f ca="1">IFERROR(__xludf.DUMMYFUNCTION("""COMPUTED_VALUE"""),16920)</f>
        <v>16920</v>
      </c>
    </row>
    <row r="29" spans="1:8">
      <c r="A29" s="8" t="str">
        <f ca="1">IFERROR(__xludf.DUMMYFUNCTION("""COMPUTED_VALUE"""),"AS-IG-AO-B-HSTSS")</f>
        <v>AS-IG-AO-B-HSTSS</v>
      </c>
      <c r="B29" s="8" t="str">
        <f ca="1">IFERROR(__xludf.DUMMYFUNCTION("""COMPUTED_VALUE"""),"Quarterly Plan AS-IG-AO-B-HSTSS")</f>
        <v>Quarterly Plan AS-IG-AO-B-HSTSS</v>
      </c>
      <c r="C29" s="9" t="str">
        <f ca="1">IFERROR(__xludf.DUMMYFUNCTION("""COMPUTED_VALUE"""),"Single Tenant - Shared Services")</f>
        <v>Single Tenant - Shared Services</v>
      </c>
      <c r="D29" s="8" t="str">
        <f ca="1">IFERROR(__xludf.DUMMYFUNCTION("""COMPUTED_VALUE"""),"Recurring")</f>
        <v>Recurring</v>
      </c>
      <c r="E29" s="9" t="str">
        <f ca="1">IFERROR(__xludf.DUMMYFUNCTION("""COMPUTED_VALUE"""),"Single Tenant with Shared Services")</f>
        <v>Single Tenant with Shared Services</v>
      </c>
      <c r="F29" s="10" t="str">
        <f ca="1">IFERROR(__xludf.DUMMYFUNCTION("""COMPUTED_VALUE"""),"AUD")</f>
        <v>AUD</v>
      </c>
      <c r="G29" s="10">
        <f ca="1">IFERROR(__xludf.DUMMYFUNCTION("""COMPUTED_VALUE"""),126941)</f>
        <v>126941</v>
      </c>
      <c r="H29" s="10">
        <f ca="1">IFERROR(__xludf.DUMMYFUNCTION("""COMPUTED_VALUE"""),1523292)</f>
        <v>1523292</v>
      </c>
    </row>
    <row r="30" spans="1:8">
      <c r="A30" s="8" t="str">
        <f ca="1">IFERROR(__xludf.DUMMYFUNCTION("""COMPUTED_VALUE"""),"AS-IG-AO-B-HSTSS")</f>
        <v>AS-IG-AO-B-HSTSS</v>
      </c>
      <c r="B30" s="8" t="str">
        <f ca="1">IFERROR(__xludf.DUMMYFUNCTION("""COMPUTED_VALUE"""),"Annual Plan AS-IG-AO-B-HSTSS")</f>
        <v>Annual Plan AS-IG-AO-B-HSTSS</v>
      </c>
      <c r="C30" s="9" t="str">
        <f ca="1">IFERROR(__xludf.DUMMYFUNCTION("""COMPUTED_VALUE"""),"Single Tenant - Shared Services")</f>
        <v>Single Tenant - Shared Services</v>
      </c>
      <c r="D30" s="8" t="str">
        <f ca="1">IFERROR(__xludf.DUMMYFUNCTION("""COMPUTED_VALUE"""),"Recurring")</f>
        <v>Recurring</v>
      </c>
      <c r="E30" s="9" t="str">
        <f ca="1">IFERROR(__xludf.DUMMYFUNCTION("""COMPUTED_VALUE"""),"Single Tenant with Shared Services")</f>
        <v>Single Tenant with Shared Services</v>
      </c>
      <c r="F30" s="10" t="str">
        <f ca="1">IFERROR(__xludf.DUMMYFUNCTION("""COMPUTED_VALUE"""),"AUD")</f>
        <v>AUD</v>
      </c>
      <c r="G30" s="8">
        <f ca="1">IFERROR(__xludf.DUMMYFUNCTION("""COMPUTED_VALUE"""),126941)</f>
        <v>126941</v>
      </c>
      <c r="H30" s="10">
        <f ca="1">IFERROR(__xludf.DUMMYFUNCTION("""COMPUTED_VALUE"""),1523292)</f>
        <v>1523292</v>
      </c>
    </row>
    <row r="31" spans="1:8">
      <c r="A31" s="8" t="str">
        <f ca="1">IFERROR(__xludf.DUMMYFUNCTION("""COMPUTED_VALUE"""),"AS-IG-AO-B-SSSTS")</f>
        <v>AS-IG-AO-B-SSSTS</v>
      </c>
      <c r="B31" s="8" t="str">
        <f ca="1">IFERROR(__xludf.DUMMYFUNCTION("""COMPUTED_VALUE"""),"Quarterly Plan AS-IG-AO-B-SSSTS")</f>
        <v>Quarterly Plan AS-IG-AO-B-SSSTS</v>
      </c>
      <c r="C31" s="9" t="str">
        <f ca="1">IFERROR(__xludf.DUMMYFUNCTION("""COMPUTED_VALUE"""),"Shared SST Site")</f>
        <v>Shared SST Site</v>
      </c>
      <c r="D31" s="8" t="str">
        <f ca="1">IFERROR(__xludf.DUMMYFUNCTION("""COMPUTED_VALUE"""),"Recurring")</f>
        <v>Recurring</v>
      </c>
      <c r="E31" s="9" t="str">
        <f ca="1">IFERROR(__xludf.DUMMYFUNCTION("""COMPUTED_VALUE"""),"Shared SST Site")</f>
        <v>Shared SST Site</v>
      </c>
      <c r="F31" s="10" t="str">
        <f ca="1">IFERROR(__xludf.DUMMYFUNCTION("""COMPUTED_VALUE"""),"AUD")</f>
        <v>AUD</v>
      </c>
      <c r="G31" s="10">
        <f ca="1">IFERROR(__xludf.DUMMYFUNCTION("""COMPUTED_VALUE"""),25388)</f>
        <v>25388</v>
      </c>
      <c r="H31" s="10">
        <f ca="1">IFERROR(__xludf.DUMMYFUNCTION("""COMPUTED_VALUE"""),304656)</f>
        <v>304656</v>
      </c>
    </row>
    <row r="32" spans="1:8">
      <c r="A32" s="8" t="str">
        <f ca="1">IFERROR(__xludf.DUMMYFUNCTION("""COMPUTED_VALUE"""),"AS-IG-AO-B-SSSTS")</f>
        <v>AS-IG-AO-B-SSSTS</v>
      </c>
      <c r="B32" s="8" t="str">
        <f ca="1">IFERROR(__xludf.DUMMYFUNCTION("""COMPUTED_VALUE"""),"Annual Plan AS-IG-AO-B-SSSTS")</f>
        <v>Annual Plan AS-IG-AO-B-SSSTS</v>
      </c>
      <c r="C32" s="9" t="str">
        <f ca="1">IFERROR(__xludf.DUMMYFUNCTION("""COMPUTED_VALUE"""),"Shared SST Site")</f>
        <v>Shared SST Site</v>
      </c>
      <c r="D32" s="8" t="str">
        <f ca="1">IFERROR(__xludf.DUMMYFUNCTION("""COMPUTED_VALUE"""),"Recurring")</f>
        <v>Recurring</v>
      </c>
      <c r="E32" s="9" t="str">
        <f ca="1">IFERROR(__xludf.DUMMYFUNCTION("""COMPUTED_VALUE"""),"Shared SST Site")</f>
        <v>Shared SST Site</v>
      </c>
      <c r="F32" s="10" t="str">
        <f ca="1">IFERROR(__xludf.DUMMYFUNCTION("""COMPUTED_VALUE"""),"AUD")</f>
        <v>AUD</v>
      </c>
      <c r="G32" s="10">
        <f ca="1">IFERROR(__xludf.DUMMYFUNCTION("""COMPUTED_VALUE"""),25388)</f>
        <v>25388</v>
      </c>
      <c r="H32" s="10">
        <f ca="1">IFERROR(__xludf.DUMMYFUNCTION("""COMPUTED_VALUE"""),304656)</f>
        <v>304656</v>
      </c>
    </row>
    <row r="33" spans="1:8">
      <c r="A33" s="8" t="str">
        <f ca="1">IFERROR(__xludf.DUMMYFUNCTION("""COMPUTED_VALUE"""),"AS-IG-AO-CIP")</f>
        <v>AS-IG-AO-CIP</v>
      </c>
      <c r="B33" s="8" t="str">
        <f ca="1">IFERROR(__xludf.DUMMYFUNCTION("""COMPUTED_VALUE"""),"Annual Plan AS-IG-AO-CIP")</f>
        <v>Annual Plan AS-IG-AO-CIP</v>
      </c>
      <c r="C33" s="9" t="str">
        <f ca="1">IFERROR(__xludf.DUMMYFUNCTION("""COMPUTED_VALUE"""),"Continuous Improvement Program")</f>
        <v>Continuous Improvement Program</v>
      </c>
      <c r="D33" s="8" t="str">
        <f ca="1">IFERROR(__xludf.DUMMYFUNCTION("""COMPUTED_VALUE"""),"Recurring")</f>
        <v>Recurring</v>
      </c>
      <c r="E33" s="9" t="str">
        <f ca="1">IFERROR(__xludf.DUMMYFUNCTION("""COMPUTED_VALUE"""),"Continuous Improvement Program")</f>
        <v>Continuous Improvement Program</v>
      </c>
      <c r="F33" s="8" t="str">
        <f ca="1">IFERROR(__xludf.DUMMYFUNCTION("""COMPUTED_VALUE"""),"AUD")</f>
        <v>AUD</v>
      </c>
      <c r="G33" s="10">
        <f ca="1">IFERROR(__xludf.DUMMYFUNCTION("""COMPUTED_VALUE"""),705)</f>
        <v>705</v>
      </c>
      <c r="H33" s="10">
        <f ca="1">IFERROR(__xludf.DUMMYFUNCTION("""COMPUTED_VALUE"""),8460)</f>
        <v>8460</v>
      </c>
    </row>
    <row r="34" spans="1:8">
      <c r="A34" s="8" t="str">
        <f ca="1">IFERROR(__xludf.DUMMYFUNCTION("""COMPUTED_VALUE"""),"AS-IG-AO-CIP")</f>
        <v>AS-IG-AO-CIP</v>
      </c>
      <c r="B34" s="8" t="str">
        <f ca="1">IFERROR(__xludf.DUMMYFUNCTION("""COMPUTED_VALUE"""),"Quarterly Plan AS-IG-AO-CIP")</f>
        <v>Quarterly Plan AS-IG-AO-CIP</v>
      </c>
      <c r="C34" s="9" t="str">
        <f ca="1">IFERROR(__xludf.DUMMYFUNCTION("""COMPUTED_VALUE"""),"Continuous Improvement Program")</f>
        <v>Continuous Improvement Program</v>
      </c>
      <c r="D34" s="8" t="str">
        <f ca="1">IFERROR(__xludf.DUMMYFUNCTION("""COMPUTED_VALUE"""),"Recurring")</f>
        <v>Recurring</v>
      </c>
      <c r="E34" s="9" t="str">
        <f ca="1">IFERROR(__xludf.DUMMYFUNCTION("""COMPUTED_VALUE"""),"Continuous Improvement Program")</f>
        <v>Continuous Improvement Program</v>
      </c>
      <c r="F34" s="10" t="str">
        <f ca="1">IFERROR(__xludf.DUMMYFUNCTION("""COMPUTED_VALUE"""),"AUD")</f>
        <v>AUD</v>
      </c>
      <c r="G34" s="10">
        <f ca="1">IFERROR(__xludf.DUMMYFUNCTION("""COMPUTED_VALUE"""),705)</f>
        <v>705</v>
      </c>
      <c r="H34" s="10">
        <f ca="1">IFERROR(__xludf.DUMMYFUNCTION("""COMPUTED_VALUE"""),8460)</f>
        <v>8460</v>
      </c>
    </row>
    <row r="35" spans="1:8">
      <c r="A35" s="8" t="str">
        <f ca="1">IFERROR(__xludf.DUMMYFUNCTION("""COMPUTED_VALUE"""),"AS-IG-AO-CS-TAM-E")</f>
        <v>AS-IG-AO-CS-TAM-E</v>
      </c>
      <c r="B35" s="8" t="str">
        <f ca="1">IFERROR(__xludf.DUMMYFUNCTION("""COMPUTED_VALUE"""),"Annual Plan AS-IG-AO-CS-TAM-E")</f>
        <v>Annual Plan AS-IG-AO-CS-TAM-E</v>
      </c>
      <c r="C35" s="9" t="str">
        <f ca="1">IFERROR(__xludf.DUMMYFUNCTION("""COMPUTED_VALUE"""),"TAM Enterprise")</f>
        <v>TAM Enterprise</v>
      </c>
      <c r="D35" s="8" t="str">
        <f ca="1">IFERROR(__xludf.DUMMYFUNCTION("""COMPUTED_VALUE"""),"Recurring")</f>
        <v>Recurring</v>
      </c>
      <c r="E35" s="9" t="str">
        <f ca="1">IFERROR(__xludf.DUMMYFUNCTION("""COMPUTED_VALUE"""),"Technical Account Manager - Enterprise")</f>
        <v>Technical Account Manager - Enterprise</v>
      </c>
      <c r="F35" s="10" t="str">
        <f ca="1">IFERROR(__xludf.DUMMYFUNCTION("""COMPUTED_VALUE"""),"AUD")</f>
        <v>AUD</v>
      </c>
      <c r="G35" s="10">
        <f ca="1">IFERROR(__xludf.DUMMYFUNCTION("""COMPUTED_VALUE"""),5642)</f>
        <v>5642</v>
      </c>
      <c r="H35" s="10">
        <f ca="1">IFERROR(__xludf.DUMMYFUNCTION("""COMPUTED_VALUE"""),67704)</f>
        <v>67704</v>
      </c>
    </row>
    <row r="36" spans="1:8">
      <c r="A36" s="8" t="str">
        <f ca="1">IFERROR(__xludf.DUMMYFUNCTION("""COMPUTED_VALUE"""),"AS-IG-AO-CS-TAM-E")</f>
        <v>AS-IG-AO-CS-TAM-E</v>
      </c>
      <c r="B36" s="8" t="str">
        <f ca="1">IFERROR(__xludf.DUMMYFUNCTION("""COMPUTED_VALUE"""),"Quarterly Plan AS-IG-AO-CS-TAM-E")</f>
        <v>Quarterly Plan AS-IG-AO-CS-TAM-E</v>
      </c>
      <c r="C36" s="9" t="str">
        <f ca="1">IFERROR(__xludf.DUMMYFUNCTION("""COMPUTED_VALUE"""),"TAM Enterprise")</f>
        <v>TAM Enterprise</v>
      </c>
      <c r="D36" s="8" t="str">
        <f ca="1">IFERROR(__xludf.DUMMYFUNCTION("""COMPUTED_VALUE"""),"Recurring")</f>
        <v>Recurring</v>
      </c>
      <c r="E36" s="9" t="str">
        <f ca="1">IFERROR(__xludf.DUMMYFUNCTION("""COMPUTED_VALUE"""),"Technical Account Manager - Enterprise")</f>
        <v>Technical Account Manager - Enterprise</v>
      </c>
      <c r="F36" s="8" t="str">
        <f ca="1">IFERROR(__xludf.DUMMYFUNCTION("""COMPUTED_VALUE"""),"AUD")</f>
        <v>AUD</v>
      </c>
      <c r="G36" s="10">
        <f ca="1">IFERROR(__xludf.DUMMYFUNCTION("""COMPUTED_VALUE"""),5642)</f>
        <v>5642</v>
      </c>
      <c r="H36" s="10">
        <f ca="1">IFERROR(__xludf.DUMMYFUNCTION("""COMPUTED_VALUE"""),67704)</f>
        <v>67704</v>
      </c>
    </row>
    <row r="37" spans="1:8">
      <c r="A37" s="8" t="str">
        <f ca="1">IFERROR(__xludf.DUMMYFUNCTION("""COMPUTED_VALUE"""),"AS-IG-AO-CS-TAMP")</f>
        <v>AS-IG-AO-CS-TAMP</v>
      </c>
      <c r="B37" s="8" t="str">
        <f ca="1">IFERROR(__xludf.DUMMYFUNCTION("""COMPUTED_VALUE"""),"Annual Plan AS-IG-AO-CS-TAMP")</f>
        <v>Annual Plan AS-IG-AO-CS-TAMP</v>
      </c>
      <c r="C37" s="9" t="str">
        <f ca="1">IFERROR(__xludf.DUMMYFUNCTION("""COMPUTED_VALUE"""),"TAM Professional")</f>
        <v>TAM Professional</v>
      </c>
      <c r="D37" s="8" t="str">
        <f ca="1">IFERROR(__xludf.DUMMYFUNCTION("""COMPUTED_VALUE"""),"Recurring")</f>
        <v>Recurring</v>
      </c>
      <c r="E37" s="9" t="str">
        <f ca="1">IFERROR(__xludf.DUMMYFUNCTION("""COMPUTED_VALUE"""),"Technical Account Manager (TAM) - Professional")</f>
        <v>Technical Account Manager (TAM) - Professional</v>
      </c>
      <c r="F37" s="10" t="str">
        <f ca="1">IFERROR(__xludf.DUMMYFUNCTION("""COMPUTED_VALUE"""),"AUD")</f>
        <v>AUD</v>
      </c>
      <c r="G37" s="10">
        <f ca="1">IFERROR(__xludf.DUMMYFUNCTION("""COMPUTED_VALUE"""),2821)</f>
        <v>2821</v>
      </c>
      <c r="H37" s="10">
        <f ca="1">IFERROR(__xludf.DUMMYFUNCTION("""COMPUTED_VALUE"""),33852)</f>
        <v>33852</v>
      </c>
    </row>
    <row r="38" spans="1:8">
      <c r="A38" s="8" t="str">
        <f ca="1">IFERROR(__xludf.DUMMYFUNCTION("""COMPUTED_VALUE"""),"AS-IG-AO-CS-TAMP")</f>
        <v>AS-IG-AO-CS-TAMP</v>
      </c>
      <c r="B38" s="8" t="str">
        <f ca="1">IFERROR(__xludf.DUMMYFUNCTION("""COMPUTED_VALUE"""),"Quarterly Plan AS-IG-AO-CS-TAMP")</f>
        <v>Quarterly Plan AS-IG-AO-CS-TAMP</v>
      </c>
      <c r="C38" s="9" t="str">
        <f ca="1">IFERROR(__xludf.DUMMYFUNCTION("""COMPUTED_VALUE"""),"TAM Professional")</f>
        <v>TAM Professional</v>
      </c>
      <c r="D38" s="8" t="str">
        <f ca="1">IFERROR(__xludf.DUMMYFUNCTION("""COMPUTED_VALUE"""),"Recurring")</f>
        <v>Recurring</v>
      </c>
      <c r="E38" s="9" t="str">
        <f ca="1">IFERROR(__xludf.DUMMYFUNCTION("""COMPUTED_VALUE"""),"Technical Account Manager (TAM) - Professional")</f>
        <v>Technical Account Manager (TAM) - Professional</v>
      </c>
      <c r="F38" s="10" t="str">
        <f ca="1">IFERROR(__xludf.DUMMYFUNCTION("""COMPUTED_VALUE"""),"AUD")</f>
        <v>AUD</v>
      </c>
      <c r="G38" s="10">
        <f ca="1">IFERROR(__xludf.DUMMYFUNCTION("""COMPUTED_VALUE"""),2821)</f>
        <v>2821</v>
      </c>
      <c r="H38" s="10">
        <f ca="1">IFERROR(__xludf.DUMMYFUNCTION("""COMPUTED_VALUE"""),33852)</f>
        <v>33852</v>
      </c>
    </row>
    <row r="39" spans="1:8">
      <c r="A39" s="8" t="str">
        <f ca="1">IFERROR(__xludf.DUMMYFUNCTION("""COMPUTED_VALUE"""),"AS-IG-AO-GAD-DEP")</f>
        <v>AS-IG-AO-GAD-DEP</v>
      </c>
      <c r="B39" s="8" t="str">
        <f ca="1">IFERROR(__xludf.DUMMYFUNCTION("""COMPUTED_VALUE"""),"Quarterly Plan AS-IG-AO-GAD-DEP")</f>
        <v>Quarterly Plan AS-IG-AO-GAD-DEP</v>
      </c>
      <c r="C39" s="9" t="str">
        <f ca="1">IFERROR(__xludf.DUMMYFUNCTION("""COMPUTED_VALUE"""),"Gadget Depot")</f>
        <v>Gadget Depot</v>
      </c>
      <c r="D39" s="8" t="str">
        <f ca="1">IFERROR(__xludf.DUMMYFUNCTION("""COMPUTED_VALUE"""),"Recurring")</f>
        <v>Recurring</v>
      </c>
      <c r="E39" s="9" t="str">
        <f ca="1">IFERROR(__xludf.DUMMYFUNCTION("""COMPUTED_VALUE"""),"Gadget Depot")</f>
        <v>Gadget Depot</v>
      </c>
      <c r="F39" s="10" t="str">
        <f ca="1">IFERROR(__xludf.DUMMYFUNCTION("""COMPUTED_VALUE"""),"AUD")</f>
        <v>AUD</v>
      </c>
      <c r="G39" s="10">
        <f ca="1">IFERROR(__xludf.DUMMYFUNCTION("""COMPUTED_VALUE"""),8463)</f>
        <v>8463</v>
      </c>
      <c r="H39" s="10">
        <f ca="1">IFERROR(__xludf.DUMMYFUNCTION("""COMPUTED_VALUE"""),101556)</f>
        <v>101556</v>
      </c>
    </row>
    <row r="40" spans="1:8">
      <c r="A40" s="8" t="str">
        <f ca="1">IFERROR(__xludf.DUMMYFUNCTION("""COMPUTED_VALUE"""),"AS-IG-AO-GAD-DEP")</f>
        <v>AS-IG-AO-GAD-DEP</v>
      </c>
      <c r="B40" s="8" t="str">
        <f ca="1">IFERROR(__xludf.DUMMYFUNCTION("""COMPUTED_VALUE"""),"Annual Plan AS-IG-AO-GAD-DEP")</f>
        <v>Annual Plan AS-IG-AO-GAD-DEP</v>
      </c>
      <c r="C40" s="9" t="str">
        <f ca="1">IFERROR(__xludf.DUMMYFUNCTION("""COMPUTED_VALUE"""),"Gadget Depot")</f>
        <v>Gadget Depot</v>
      </c>
      <c r="D40" s="8" t="str">
        <f ca="1">IFERROR(__xludf.DUMMYFUNCTION("""COMPUTED_VALUE"""),"Recurring")</f>
        <v>Recurring</v>
      </c>
      <c r="E40" s="9" t="str">
        <f ca="1">IFERROR(__xludf.DUMMYFUNCTION("""COMPUTED_VALUE"""),"Gadget Depot")</f>
        <v>Gadget Depot</v>
      </c>
      <c r="F40" s="10" t="str">
        <f ca="1">IFERROR(__xludf.DUMMYFUNCTION("""COMPUTED_VALUE"""),"AUD")</f>
        <v>AUD</v>
      </c>
      <c r="G40" s="10">
        <f ca="1">IFERROR(__xludf.DUMMYFUNCTION("""COMPUTED_VALUE"""),8463)</f>
        <v>8463</v>
      </c>
      <c r="H40" s="10">
        <f ca="1">IFERROR(__xludf.DUMMYFUNCTION("""COMPUTED_VALUE"""),101556)</f>
        <v>101556</v>
      </c>
    </row>
    <row r="41" spans="1:8">
      <c r="A41" s="8" t="str">
        <f ca="1">IFERROR(__xludf.DUMMYFUNCTION("""COMPUTED_VALUE"""),"AS-IG-AO-GROUP-SPACES-500")</f>
        <v>AS-IG-AO-GROUP-SPACES-500</v>
      </c>
      <c r="B41" s="8" t="str">
        <f ca="1">IFERROR(__xludf.DUMMYFUNCTION("""COMPUTED_VALUE"""),"Annual Plan AS-IG-AO-GROUP-SPACES-500")</f>
        <v>Annual Plan AS-IG-AO-GROUP-SPACES-500</v>
      </c>
      <c r="C41" s="9" t="str">
        <f ca="1">IFERROR(__xludf.DUMMYFUNCTION("""COMPUTED_VALUE"""),"Additional Spaces (500)")</f>
        <v>Additional Spaces (500)</v>
      </c>
      <c r="D41" s="8" t="str">
        <f ca="1">IFERROR(__xludf.DUMMYFUNCTION("""COMPUTED_VALUE"""),"Recurring")</f>
        <v>Recurring</v>
      </c>
      <c r="E41" s="9" t="str">
        <f ca="1">IFERROR(__xludf.DUMMYFUNCTION("""COMPUTED_VALUE"""),"Additional Spaces - 500 Bundle")</f>
        <v>Additional Spaces - 500 Bundle</v>
      </c>
      <c r="F41" s="10" t="str">
        <f ca="1">IFERROR(__xludf.DUMMYFUNCTION("""COMPUTED_VALUE"""),"AUD")</f>
        <v>AUD</v>
      </c>
      <c r="G41" s="10">
        <f ca="1">IFERROR(__xludf.DUMMYFUNCTION("""COMPUTED_VALUE"""),423)</f>
        <v>423</v>
      </c>
      <c r="H41" s="10">
        <f ca="1">IFERROR(__xludf.DUMMYFUNCTION("""COMPUTED_VALUE"""),5076)</f>
        <v>5076</v>
      </c>
    </row>
    <row r="42" spans="1:8">
      <c r="A42" s="8" t="str">
        <f ca="1">IFERROR(__xludf.DUMMYFUNCTION("""COMPUTED_VALUE"""),"AS-IG-AO-GROUP-SPACES-500")</f>
        <v>AS-IG-AO-GROUP-SPACES-500</v>
      </c>
      <c r="B42" s="8" t="str">
        <f ca="1">IFERROR(__xludf.DUMMYFUNCTION("""COMPUTED_VALUE"""),"Quarterly Plan AS-IG-AO-GROUP-SPACES-500")</f>
        <v>Quarterly Plan AS-IG-AO-GROUP-SPACES-500</v>
      </c>
      <c r="C42" s="9" t="str">
        <f ca="1">IFERROR(__xludf.DUMMYFUNCTION("""COMPUTED_VALUE"""),"Additional Spaces (500)")</f>
        <v>Additional Spaces (500)</v>
      </c>
      <c r="D42" s="8" t="str">
        <f ca="1">IFERROR(__xludf.DUMMYFUNCTION("""COMPUTED_VALUE"""),"Recurring")</f>
        <v>Recurring</v>
      </c>
      <c r="E42" s="9" t="str">
        <f ca="1">IFERROR(__xludf.DUMMYFUNCTION("""COMPUTED_VALUE"""),"Additional Spaces - 500 Bundle")</f>
        <v>Additional Spaces - 500 Bundle</v>
      </c>
      <c r="F42" s="10" t="str">
        <f ca="1">IFERROR(__xludf.DUMMYFUNCTION("""COMPUTED_VALUE"""),"AUD")</f>
        <v>AUD</v>
      </c>
      <c r="G42" s="10">
        <f ca="1">IFERROR(__xludf.DUMMYFUNCTION("""COMPUTED_VALUE"""),423)</f>
        <v>423</v>
      </c>
      <c r="H42" s="10">
        <f ca="1">IFERROR(__xludf.DUMMYFUNCTION("""COMPUTED_VALUE"""),5076)</f>
        <v>5076</v>
      </c>
    </row>
    <row r="43" spans="1:8">
      <c r="A43" s="8" t="str">
        <f ca="1">IFERROR(__xludf.DUMMYFUNCTION("""COMPUTED_VALUE"""),"AS-IG-AO-IDA-BP")</f>
        <v>AS-IG-AO-IDA-BP</v>
      </c>
      <c r="B43" s="8" t="str">
        <f ca="1">IFERROR(__xludf.DUMMYFUNCTION("""COMPUTED_VALUE"""),"Quarterly Plan AS-IG-AO-IDA-BP")</f>
        <v>Quarterly Plan AS-IG-AO-IDA-BP</v>
      </c>
      <c r="C43" s="9" t="str">
        <f ca="1">IFERROR(__xludf.DUMMYFUNCTION("""COMPUTED_VALUE"""),"IDA Base")</f>
        <v>IDA Base</v>
      </c>
      <c r="D43" s="8" t="str">
        <f ca="1">IFERROR(__xludf.DUMMYFUNCTION("""COMPUTED_VALUE"""),"Recurring")</f>
        <v>Recurring</v>
      </c>
      <c r="E43" s="9" t="str">
        <f ca="1">IFERROR(__xludf.DUMMYFUNCTION("""COMPUTED_VALUE"""),"Igloo Igloo Digital Assistant - Base Package")</f>
        <v>Igloo Igloo Digital Assistant - Base Package</v>
      </c>
      <c r="F43" s="8" t="str">
        <f ca="1">IFERROR(__xludf.DUMMYFUNCTION("""COMPUTED_VALUE"""),"AUD")</f>
        <v>AUD</v>
      </c>
      <c r="G43" s="10">
        <f ca="1">IFERROR(__xludf.DUMMYFUNCTION("""COMPUTED_VALUE"""),0.85)</f>
        <v>0.85</v>
      </c>
      <c r="H43" s="10">
        <f ca="1">IFERROR(__xludf.DUMMYFUNCTION("""COMPUTED_VALUE"""),10.2)</f>
        <v>10.199999999999999</v>
      </c>
    </row>
    <row r="44" spans="1:8">
      <c r="A44" s="8" t="str">
        <f ca="1">IFERROR(__xludf.DUMMYFUNCTION("""COMPUTED_VALUE"""),"AS-IG-AO-IDA-BP")</f>
        <v>AS-IG-AO-IDA-BP</v>
      </c>
      <c r="B44" s="8" t="str">
        <f ca="1">IFERROR(__xludf.DUMMYFUNCTION("""COMPUTED_VALUE"""),"Annual Plan AS-IG-AO-IDA-BP")</f>
        <v>Annual Plan AS-IG-AO-IDA-BP</v>
      </c>
      <c r="C44" s="9" t="str">
        <f ca="1">IFERROR(__xludf.DUMMYFUNCTION("""COMPUTED_VALUE"""),"IDA Base")</f>
        <v>IDA Base</v>
      </c>
      <c r="D44" s="8" t="str">
        <f ca="1">IFERROR(__xludf.DUMMYFUNCTION("""COMPUTED_VALUE"""),"Recurring")</f>
        <v>Recurring</v>
      </c>
      <c r="E44" s="9" t="str">
        <f ca="1">IFERROR(__xludf.DUMMYFUNCTION("""COMPUTED_VALUE"""),"Igloo Igloo Digital Assistant - Base Package")</f>
        <v>Igloo Igloo Digital Assistant - Base Package</v>
      </c>
      <c r="F44" s="10" t="str">
        <f ca="1">IFERROR(__xludf.DUMMYFUNCTION("""COMPUTED_VALUE"""),"AUD")</f>
        <v>AUD</v>
      </c>
      <c r="G44" s="10">
        <f ca="1">IFERROR(__xludf.DUMMYFUNCTION("""COMPUTED_VALUE"""),0.85)</f>
        <v>0.85</v>
      </c>
      <c r="H44" s="10">
        <f ca="1">IFERROR(__xludf.DUMMYFUNCTION("""COMPUTED_VALUE"""),10.2)</f>
        <v>10.199999999999999</v>
      </c>
    </row>
    <row r="45" spans="1:8">
      <c r="A45" s="8" t="str">
        <f ca="1">IFERROR(__xludf.DUMMYFUNCTION("""COMPUTED_VALUE"""),"AS-IG-AO-IDA-FL-HRIS")</f>
        <v>AS-IG-AO-IDA-FL-HRIS</v>
      </c>
      <c r="B45" s="8" t="str">
        <f ca="1">IFERROR(__xludf.DUMMYFUNCTION("""COMPUTED_VALUE"""),"Quarterly Plan AS-IG-AO-IDA-FL-HRIS")</f>
        <v>Quarterly Plan AS-IG-AO-IDA-FL-HRIS</v>
      </c>
      <c r="C45" s="9" t="str">
        <f ca="1">IFERROR(__xludf.DUMMYFUNCTION("""COMPUTED_VALUE"""),"Flex IDA HRIS")</f>
        <v>Flex IDA HRIS</v>
      </c>
      <c r="D45" s="8" t="str">
        <f ca="1">IFERROR(__xludf.DUMMYFUNCTION("""COMPUTED_VALUE"""),"Recurring")</f>
        <v>Recurring</v>
      </c>
      <c r="E45" s="9" t="str">
        <f ca="1">IFERROR(__xludf.DUMMYFUNCTION("""COMPUTED_VALUE"""),"Igloo Flex Digital Assistant - HRIS Package")</f>
        <v>Igloo Flex Digital Assistant - HRIS Package</v>
      </c>
      <c r="F45" s="10" t="str">
        <f ca="1">IFERROR(__xludf.DUMMYFUNCTION("""COMPUTED_VALUE"""),"AUD")</f>
        <v>AUD</v>
      </c>
      <c r="G45" s="8">
        <f ca="1">IFERROR(__xludf.DUMMYFUNCTION("""COMPUTED_VALUE"""),1.24)</f>
        <v>1.24</v>
      </c>
      <c r="H45" s="10">
        <f ca="1">IFERROR(__xludf.DUMMYFUNCTION("""COMPUTED_VALUE"""),14.88)</f>
        <v>14.88</v>
      </c>
    </row>
    <row r="46" spans="1:8">
      <c r="A46" s="8" t="str">
        <f ca="1">IFERROR(__xludf.DUMMYFUNCTION("""COMPUTED_VALUE"""),"AS-IG-AO-IDA-FL-HRIS")</f>
        <v>AS-IG-AO-IDA-FL-HRIS</v>
      </c>
      <c r="B46" s="8" t="str">
        <f ca="1">IFERROR(__xludf.DUMMYFUNCTION("""COMPUTED_VALUE"""),"Annual Plan AS-IG-AO-IDA-FL-HRIS")</f>
        <v>Annual Plan AS-IG-AO-IDA-FL-HRIS</v>
      </c>
      <c r="C46" s="9" t="str">
        <f ca="1">IFERROR(__xludf.DUMMYFUNCTION("""COMPUTED_VALUE"""),"Flex IDA HRIS")</f>
        <v>Flex IDA HRIS</v>
      </c>
      <c r="D46" s="8" t="str">
        <f ca="1">IFERROR(__xludf.DUMMYFUNCTION("""COMPUTED_VALUE"""),"Recurring")</f>
        <v>Recurring</v>
      </c>
      <c r="E46" s="9" t="str">
        <f ca="1">IFERROR(__xludf.DUMMYFUNCTION("""COMPUTED_VALUE"""),"Igloo Flex Digital Assistant - HRIS Package")</f>
        <v>Igloo Flex Digital Assistant - HRIS Package</v>
      </c>
      <c r="F46" s="10" t="str">
        <f ca="1">IFERROR(__xludf.DUMMYFUNCTION("""COMPUTED_VALUE"""),"AUD")</f>
        <v>AUD</v>
      </c>
      <c r="G46" s="10">
        <f ca="1">IFERROR(__xludf.DUMMYFUNCTION("""COMPUTED_VALUE"""),1.24)</f>
        <v>1.24</v>
      </c>
      <c r="H46" s="10">
        <f ca="1">IFERROR(__xludf.DUMMYFUNCTION("""COMPUTED_VALUE"""),14.88)</f>
        <v>14.88</v>
      </c>
    </row>
    <row r="47" spans="1:8">
      <c r="A47" s="8" t="str">
        <f ca="1">IFERROR(__xludf.DUMMYFUNCTION("""COMPUTED_VALUE"""),"AS-IG-AO-IDA-HRIS")</f>
        <v>AS-IG-AO-IDA-HRIS</v>
      </c>
      <c r="B47" s="8" t="str">
        <f ca="1">IFERROR(__xludf.DUMMYFUNCTION("""COMPUTED_VALUE"""),"Annual Plan AS-IG-AO-IDA-HRIS")</f>
        <v>Annual Plan AS-IG-AO-IDA-HRIS</v>
      </c>
      <c r="C47" s="9" t="str">
        <f ca="1">IFERROR(__xludf.DUMMYFUNCTION("""COMPUTED_VALUE"""),"IDA HRIS")</f>
        <v>IDA HRIS</v>
      </c>
      <c r="D47" s="8" t="str">
        <f ca="1">IFERROR(__xludf.DUMMYFUNCTION("""COMPUTED_VALUE"""),"Recurring")</f>
        <v>Recurring</v>
      </c>
      <c r="E47" s="9" t="str">
        <f ca="1">IFERROR(__xludf.DUMMYFUNCTION("""COMPUTED_VALUE"""),"Igloo Igloo Digital Assistant - HRIS Package")</f>
        <v>Igloo Igloo Digital Assistant - HRIS Package</v>
      </c>
      <c r="F47" s="10" t="str">
        <f ca="1">IFERROR(__xludf.DUMMYFUNCTION("""COMPUTED_VALUE"""),"AUD")</f>
        <v>AUD</v>
      </c>
      <c r="G47" s="10">
        <f ca="1">IFERROR(__xludf.DUMMYFUNCTION("""COMPUTED_VALUE"""),0.14)</f>
        <v>0.14000000000000001</v>
      </c>
      <c r="H47" s="10">
        <f ca="1">IFERROR(__xludf.DUMMYFUNCTION("""COMPUTED_VALUE"""),1.68)</f>
        <v>1.68</v>
      </c>
    </row>
    <row r="48" spans="1:8">
      <c r="A48" s="8" t="str">
        <f ca="1">IFERROR(__xludf.DUMMYFUNCTION("""COMPUTED_VALUE"""),"AS-IG-AO-IDA-HRIS")</f>
        <v>AS-IG-AO-IDA-HRIS</v>
      </c>
      <c r="B48" s="8" t="str">
        <f ca="1">IFERROR(__xludf.DUMMYFUNCTION("""COMPUTED_VALUE"""),"Quarterly Plan AS-IG-AO-IDA-HRIS")</f>
        <v>Quarterly Plan AS-IG-AO-IDA-HRIS</v>
      </c>
      <c r="C48" s="9" t="str">
        <f ca="1">IFERROR(__xludf.DUMMYFUNCTION("""COMPUTED_VALUE"""),"IDA HRIS")</f>
        <v>IDA HRIS</v>
      </c>
      <c r="D48" s="8" t="str">
        <f ca="1">IFERROR(__xludf.DUMMYFUNCTION("""COMPUTED_VALUE"""),"Recurring")</f>
        <v>Recurring</v>
      </c>
      <c r="E48" s="9" t="str">
        <f ca="1">IFERROR(__xludf.DUMMYFUNCTION("""COMPUTED_VALUE"""),"Igloo Igloo Digital Assistant - HRIS Package")</f>
        <v>Igloo Igloo Digital Assistant - HRIS Package</v>
      </c>
      <c r="F48" s="10" t="str">
        <f ca="1">IFERROR(__xludf.DUMMYFUNCTION("""COMPUTED_VALUE"""),"AUD")</f>
        <v>AUD</v>
      </c>
      <c r="G48" s="10">
        <f ca="1">IFERROR(__xludf.DUMMYFUNCTION("""COMPUTED_VALUE"""),0.14)</f>
        <v>0.14000000000000001</v>
      </c>
      <c r="H48" s="10">
        <f ca="1">IFERROR(__xludf.DUMMYFUNCTION("""COMPUTED_VALUE"""),1.68)</f>
        <v>1.68</v>
      </c>
    </row>
    <row r="49" spans="1:8">
      <c r="A49" s="8" t="str">
        <f ca="1">IFERROR(__xludf.DUMMYFUNCTION("""COMPUTED_VALUE"""),"AS-IG-AO-IDS-SL-CM")</f>
        <v>AS-IG-AO-IDS-SL-CM</v>
      </c>
      <c r="B49" s="8" t="str">
        <f ca="1">IFERROR(__xludf.DUMMYFUNCTION("""COMPUTED_VALUE"""),"Quarterly Plan AS-IG-AO-IDS-SL-CM")</f>
        <v>Quarterly Plan AS-IG-AO-IDS-SL-CM</v>
      </c>
      <c r="C49" s="9" t="str">
        <f ca="1">IFERROR(__xludf.DUMMYFUNCTION("""COMPUTED_VALUE"""),"IDS Content Manager")</f>
        <v>IDS Content Manager</v>
      </c>
      <c r="D49" s="8" t="str">
        <f ca="1">IFERROR(__xludf.DUMMYFUNCTION("""COMPUTED_VALUE"""),"Recurring")</f>
        <v>Recurring</v>
      </c>
      <c r="E49" s="9" t="str">
        <f ca="1">IFERROR(__xludf.DUMMYFUNCTION("""COMPUTED_VALUE"""),"Igloo Digital Signage Software License Content Manager")</f>
        <v>Igloo Digital Signage Software License Content Manager</v>
      </c>
      <c r="F49" s="10" t="str">
        <f ca="1">IFERROR(__xludf.DUMMYFUNCTION("""COMPUTED_VALUE"""),"AUD")</f>
        <v>AUD</v>
      </c>
      <c r="G49" s="10">
        <f ca="1">IFERROR(__xludf.DUMMYFUNCTION("""COMPUTED_VALUE"""),1693)</f>
        <v>1693</v>
      </c>
      <c r="H49" s="10">
        <f ca="1">IFERROR(__xludf.DUMMYFUNCTION("""COMPUTED_VALUE"""),20316)</f>
        <v>20316</v>
      </c>
    </row>
    <row r="50" spans="1:8">
      <c r="A50" s="8" t="str">
        <f ca="1">IFERROR(__xludf.DUMMYFUNCTION("""COMPUTED_VALUE"""),"AS-IG-AO-IDS-SL-CM")</f>
        <v>AS-IG-AO-IDS-SL-CM</v>
      </c>
      <c r="B50" s="8" t="str">
        <f ca="1">IFERROR(__xludf.DUMMYFUNCTION("""COMPUTED_VALUE"""),"Annual Plan AS-IG-AO-IDS-SL-CM")</f>
        <v>Annual Plan AS-IG-AO-IDS-SL-CM</v>
      </c>
      <c r="C50" s="9" t="str">
        <f ca="1">IFERROR(__xludf.DUMMYFUNCTION("""COMPUTED_VALUE"""),"IDS Content Manager")</f>
        <v>IDS Content Manager</v>
      </c>
      <c r="D50" s="8" t="str">
        <f ca="1">IFERROR(__xludf.DUMMYFUNCTION("""COMPUTED_VALUE"""),"Recurring")</f>
        <v>Recurring</v>
      </c>
      <c r="E50" s="9" t="str">
        <f ca="1">IFERROR(__xludf.DUMMYFUNCTION("""COMPUTED_VALUE"""),"Igloo Digital Signage Software License Content Manager")</f>
        <v>Igloo Digital Signage Software License Content Manager</v>
      </c>
      <c r="F50" s="10" t="str">
        <f ca="1">IFERROR(__xludf.DUMMYFUNCTION("""COMPUTED_VALUE"""),"AUD")</f>
        <v>AUD</v>
      </c>
      <c r="G50" s="10">
        <f ca="1">IFERROR(__xludf.DUMMYFUNCTION("""COMPUTED_VALUE"""),1693)</f>
        <v>1693</v>
      </c>
      <c r="H50" s="10">
        <f ca="1">IFERROR(__xludf.DUMMYFUNCTION("""COMPUTED_VALUE"""),20316)</f>
        <v>20316</v>
      </c>
    </row>
    <row r="51" spans="1:8">
      <c r="A51" s="8" t="str">
        <f ca="1">IFERROR(__xludf.DUMMYFUNCTION("""COMPUTED_VALUE"""),"AS-IG-AO-IDS-SLF-CM")</f>
        <v>AS-IG-AO-IDS-SLF-CM</v>
      </c>
      <c r="B51" s="8" t="str">
        <f ca="1">IFERROR(__xludf.DUMMYFUNCTION("""COMPUTED_VALUE"""),"Quarterly Plan AS-IG-AO-IDS-SLF-CM")</f>
        <v>Quarterly Plan AS-IG-AO-IDS-SLF-CM</v>
      </c>
      <c r="C51" s="9" t="str">
        <f ca="1">IFERROR(__xludf.DUMMYFUNCTION("""COMPUTED_VALUE"""),"Flex IDS Content Manager")</f>
        <v>Flex IDS Content Manager</v>
      </c>
      <c r="D51" s="8" t="str">
        <f ca="1">IFERROR(__xludf.DUMMYFUNCTION("""COMPUTED_VALUE"""),"Recurring")</f>
        <v>Recurring</v>
      </c>
      <c r="E51" s="9" t="str">
        <f ca="1">IFERROR(__xludf.DUMMYFUNCTION("""COMPUTED_VALUE"""),"Igloo Flex Digital Signage Software License Content Manager")</f>
        <v>Igloo Flex Digital Signage Software License Content Manager</v>
      </c>
      <c r="F51" s="10" t="str">
        <f ca="1">IFERROR(__xludf.DUMMYFUNCTION("""COMPUTED_VALUE"""),"AUD")</f>
        <v>AUD</v>
      </c>
      <c r="G51" s="10">
        <f ca="1">IFERROR(__xludf.DUMMYFUNCTION("""COMPUTED_VALUE"""),141.04)</f>
        <v>141.04</v>
      </c>
      <c r="H51" s="10">
        <f ca="1">IFERROR(__xludf.DUMMYFUNCTION("""COMPUTED_VALUE"""),1692.48)</f>
        <v>1692.48</v>
      </c>
    </row>
    <row r="52" spans="1:8">
      <c r="A52" s="8" t="str">
        <f ca="1">IFERROR(__xludf.DUMMYFUNCTION("""COMPUTED_VALUE"""),"AS-IG-AO-IDS-SLF-CM")</f>
        <v>AS-IG-AO-IDS-SLF-CM</v>
      </c>
      <c r="B52" s="8" t="str">
        <f ca="1">IFERROR(__xludf.DUMMYFUNCTION("""COMPUTED_VALUE"""),"Annual Plan AS-IG-AO-IDS-SLF-CM")</f>
        <v>Annual Plan AS-IG-AO-IDS-SLF-CM</v>
      </c>
      <c r="C52" s="9" t="str">
        <f ca="1">IFERROR(__xludf.DUMMYFUNCTION("""COMPUTED_VALUE"""),"Flex IDS Content Manager")</f>
        <v>Flex IDS Content Manager</v>
      </c>
      <c r="D52" s="8" t="str">
        <f ca="1">IFERROR(__xludf.DUMMYFUNCTION("""COMPUTED_VALUE"""),"Recurring")</f>
        <v>Recurring</v>
      </c>
      <c r="E52" s="9" t="str">
        <f ca="1">IFERROR(__xludf.DUMMYFUNCTION("""COMPUTED_VALUE"""),"Igloo Flex Digital Signage Software License Content Manager")</f>
        <v>Igloo Flex Digital Signage Software License Content Manager</v>
      </c>
      <c r="F52" s="10" t="str">
        <f ca="1">IFERROR(__xludf.DUMMYFUNCTION("""COMPUTED_VALUE"""),"AUD")</f>
        <v>AUD</v>
      </c>
      <c r="G52" s="10">
        <f ca="1">IFERROR(__xludf.DUMMYFUNCTION("""COMPUTED_VALUE"""),141.04)</f>
        <v>141.04</v>
      </c>
      <c r="H52" s="10">
        <f ca="1">IFERROR(__xludf.DUMMYFUNCTION("""COMPUTED_VALUE"""),1692.48)</f>
        <v>1692.48</v>
      </c>
    </row>
    <row r="53" spans="1:8">
      <c r="A53" s="8" t="str">
        <f ca="1">IFERROR(__xludf.DUMMYFUNCTION("""COMPUTED_VALUE"""),"AS-IG-AO-IDS-SLF-SPO")</f>
        <v>AS-IG-AO-IDS-SLF-SPO</v>
      </c>
      <c r="B53" s="8" t="str">
        <f ca="1">IFERROR(__xludf.DUMMYFUNCTION("""COMPUTED_VALUE"""),"Annual Plan AS-IG-AO-IDS-SLF-SPO")</f>
        <v>Annual Plan AS-IG-AO-IDS-SLF-SPO</v>
      </c>
      <c r="C53" s="9" t="str">
        <f ca="1">IFERROR(__xludf.DUMMYFUNCTION("""COMPUTED_VALUE"""),"Flex IDS Player License")</f>
        <v>Flex IDS Player License</v>
      </c>
      <c r="D53" s="8" t="str">
        <f ca="1">IFERROR(__xludf.DUMMYFUNCTION("""COMPUTED_VALUE"""),"Recurring")</f>
        <v>Recurring</v>
      </c>
      <c r="E53" s="9" t="str">
        <f ca="1">IFERROR(__xludf.DUMMYFUNCTION("""COMPUTED_VALUE"""),"Igloo Flex Digital Signage Software License Scala Player One")</f>
        <v>Igloo Flex Digital Signage Software License Scala Player One</v>
      </c>
      <c r="F53" s="10" t="str">
        <f ca="1">IFERROR(__xludf.DUMMYFUNCTION("""COMPUTED_VALUE"""),"AUD")</f>
        <v>AUD</v>
      </c>
      <c r="G53" s="10">
        <f ca="1">IFERROR(__xludf.DUMMYFUNCTION("""COMPUTED_VALUE"""),42.31)</f>
        <v>42.31</v>
      </c>
      <c r="H53" s="10">
        <f ca="1">IFERROR(__xludf.DUMMYFUNCTION("""COMPUTED_VALUE"""),507.72)</f>
        <v>507.72</v>
      </c>
    </row>
    <row r="54" spans="1:8">
      <c r="A54" s="8" t="str">
        <f ca="1">IFERROR(__xludf.DUMMYFUNCTION("""COMPUTED_VALUE"""),"AS-IG-AO-IDS-SLF-SPO")</f>
        <v>AS-IG-AO-IDS-SLF-SPO</v>
      </c>
      <c r="B54" s="8" t="str">
        <f ca="1">IFERROR(__xludf.DUMMYFUNCTION("""COMPUTED_VALUE"""),"Quarterly Plan AS-IG-AO-IDS-SLF-SPO")</f>
        <v>Quarterly Plan AS-IG-AO-IDS-SLF-SPO</v>
      </c>
      <c r="C54" s="9" t="str">
        <f ca="1">IFERROR(__xludf.DUMMYFUNCTION("""COMPUTED_VALUE"""),"Flex IDS Player License")</f>
        <v>Flex IDS Player License</v>
      </c>
      <c r="D54" s="8" t="str">
        <f ca="1">IFERROR(__xludf.DUMMYFUNCTION("""COMPUTED_VALUE"""),"Recurring")</f>
        <v>Recurring</v>
      </c>
      <c r="E54" s="9" t="str">
        <f ca="1">IFERROR(__xludf.DUMMYFUNCTION("""COMPUTED_VALUE"""),"Igloo Flex Digital Signage Software License Scala Player One")</f>
        <v>Igloo Flex Digital Signage Software License Scala Player One</v>
      </c>
      <c r="F54" s="10" t="str">
        <f ca="1">IFERROR(__xludf.DUMMYFUNCTION("""COMPUTED_VALUE"""),"AUD")</f>
        <v>AUD</v>
      </c>
      <c r="G54" s="10">
        <f ca="1">IFERROR(__xludf.DUMMYFUNCTION("""COMPUTED_VALUE"""),42.31)</f>
        <v>42.31</v>
      </c>
      <c r="H54" s="10">
        <f ca="1">IFERROR(__xludf.DUMMYFUNCTION("""COMPUTED_VALUE"""),507.72)</f>
        <v>507.72</v>
      </c>
    </row>
    <row r="55" spans="1:8">
      <c r="A55" s="8" t="str">
        <f ca="1">IFERROR(__xludf.DUMMYFUNCTION("""COMPUTED_VALUE"""),"AS-IG-AO-IDS-SL-SPO")</f>
        <v>AS-IG-AO-IDS-SL-SPO</v>
      </c>
      <c r="B55" s="8" t="str">
        <f ca="1">IFERROR(__xludf.DUMMYFUNCTION("""COMPUTED_VALUE"""),"Quarterly Plan AS-IG-AO-IDS-SL-SPO")</f>
        <v>Quarterly Plan AS-IG-AO-IDS-SL-SPO</v>
      </c>
      <c r="C55" s="9" t="str">
        <f ca="1">IFERROR(__xludf.DUMMYFUNCTION("""COMPUTED_VALUE"""),"IDS Player License")</f>
        <v>IDS Player License</v>
      </c>
      <c r="D55" s="8" t="str">
        <f ca="1">IFERROR(__xludf.DUMMYFUNCTION("""COMPUTED_VALUE"""),"Recurring")</f>
        <v>Recurring</v>
      </c>
      <c r="E55" s="9" t="str">
        <f ca="1">IFERROR(__xludf.DUMMYFUNCTION("""COMPUTED_VALUE"""),"Igloo Digital Signage Software License Scala Player One")</f>
        <v>Igloo Digital Signage Software License Scala Player One</v>
      </c>
      <c r="F55" s="10" t="str">
        <f ca="1">IFERROR(__xludf.DUMMYFUNCTION("""COMPUTED_VALUE"""),"AUD")</f>
        <v>AUD</v>
      </c>
      <c r="G55" s="10">
        <f ca="1">IFERROR(__xludf.DUMMYFUNCTION("""COMPUTED_VALUE"""),508)</f>
        <v>508</v>
      </c>
      <c r="H55" s="10">
        <f ca="1">IFERROR(__xludf.DUMMYFUNCTION("""COMPUTED_VALUE"""),6096)</f>
        <v>6096</v>
      </c>
    </row>
    <row r="56" spans="1:8">
      <c r="A56" s="8" t="str">
        <f ca="1">IFERROR(__xludf.DUMMYFUNCTION("""COMPUTED_VALUE"""),"AS-IG-AO-IDS-SL-SPO")</f>
        <v>AS-IG-AO-IDS-SL-SPO</v>
      </c>
      <c r="B56" s="8" t="str">
        <f ca="1">IFERROR(__xludf.DUMMYFUNCTION("""COMPUTED_VALUE"""),"Annual Plan AS-IG-AO-IDS-SL-SPO")</f>
        <v>Annual Plan AS-IG-AO-IDS-SL-SPO</v>
      </c>
      <c r="C56" s="9" t="str">
        <f ca="1">IFERROR(__xludf.DUMMYFUNCTION("""COMPUTED_VALUE"""),"IDS Player License")</f>
        <v>IDS Player License</v>
      </c>
      <c r="D56" s="8" t="str">
        <f ca="1">IFERROR(__xludf.DUMMYFUNCTION("""COMPUTED_VALUE"""),"Recurring")</f>
        <v>Recurring</v>
      </c>
      <c r="E56" s="9" t="str">
        <f ca="1">IFERROR(__xludf.DUMMYFUNCTION("""COMPUTED_VALUE"""),"Igloo Digital Signage Software License Scala Player One")</f>
        <v>Igloo Digital Signage Software License Scala Player One</v>
      </c>
      <c r="F56" s="10" t="str">
        <f ca="1">IFERROR(__xludf.DUMMYFUNCTION("""COMPUTED_VALUE"""),"AUD")</f>
        <v>AUD</v>
      </c>
      <c r="G56" s="8">
        <f ca="1">IFERROR(__xludf.DUMMYFUNCTION("""COMPUTED_VALUE"""),508)</f>
        <v>508</v>
      </c>
      <c r="H56" s="10">
        <f ca="1">IFERROR(__xludf.DUMMYFUNCTION("""COMPUTED_VALUE"""),6096)</f>
        <v>6096</v>
      </c>
    </row>
    <row r="57" spans="1:8">
      <c r="A57" s="8" t="str">
        <f ca="1">IFERROR(__xludf.DUMMYFUNCTION("""COMPUTED_VALUE"""),"AS-IG-AO-IMBE-1")</f>
        <v>AS-IG-AO-IMBE-1</v>
      </c>
      <c r="B57" s="8" t="str">
        <f ca="1">IFERROR(__xludf.DUMMYFUNCTION("""COMPUTED_VALUE"""),"Quarterly Plan AS-IG-AO-IMBE-1")</f>
        <v>Quarterly Plan AS-IG-AO-IMBE-1</v>
      </c>
      <c r="C57" s="9" t="str">
        <f ca="1">IFERROR(__xludf.DUMMYFUNCTION("""COMPUTED_VALUE"""),"Branded Mobile")</f>
        <v>Branded Mobile</v>
      </c>
      <c r="D57" s="8" t="str">
        <f ca="1">IFERROR(__xludf.DUMMYFUNCTION("""COMPUTED_VALUE"""),"Recurring")</f>
        <v>Recurring</v>
      </c>
      <c r="E57" s="9" t="str">
        <f ca="1">IFERROR(__xludf.DUMMYFUNCTION("""COMPUTED_VALUE"""),"Igloo Mobile Branded Edition - Pkg 1")</f>
        <v>Igloo Mobile Branded Edition - Pkg 1</v>
      </c>
      <c r="F57" s="10" t="str">
        <f ca="1">IFERROR(__xludf.DUMMYFUNCTION("""COMPUTED_VALUE"""),"AUD")</f>
        <v>AUD</v>
      </c>
      <c r="G57" s="8">
        <f ca="1">IFERROR(__xludf.DUMMYFUNCTION("""COMPUTED_VALUE"""),1410)</f>
        <v>1410</v>
      </c>
      <c r="H57" s="10">
        <f ca="1">IFERROR(__xludf.DUMMYFUNCTION("""COMPUTED_VALUE"""),16920)</f>
        <v>16920</v>
      </c>
    </row>
    <row r="58" spans="1:8">
      <c r="A58" s="8" t="str">
        <f ca="1">IFERROR(__xludf.DUMMYFUNCTION("""COMPUTED_VALUE"""),"AS-IG-AO-IMBE-1")</f>
        <v>AS-IG-AO-IMBE-1</v>
      </c>
      <c r="B58" s="8" t="str">
        <f ca="1">IFERROR(__xludf.DUMMYFUNCTION("""COMPUTED_VALUE"""),"Annual Plan AS-IG-AO-IMBE-1")</f>
        <v>Annual Plan AS-IG-AO-IMBE-1</v>
      </c>
      <c r="C58" s="9" t="str">
        <f ca="1">IFERROR(__xludf.DUMMYFUNCTION("""COMPUTED_VALUE"""),"Branded Mobile")</f>
        <v>Branded Mobile</v>
      </c>
      <c r="D58" s="8" t="str">
        <f ca="1">IFERROR(__xludf.DUMMYFUNCTION("""COMPUTED_VALUE"""),"Recurring")</f>
        <v>Recurring</v>
      </c>
      <c r="E58" s="9" t="str">
        <f ca="1">IFERROR(__xludf.DUMMYFUNCTION("""COMPUTED_VALUE"""),"Igloo Mobile Branded Edition - Pkg 1")</f>
        <v>Igloo Mobile Branded Edition - Pkg 1</v>
      </c>
      <c r="F58" s="10" t="str">
        <f ca="1">IFERROR(__xludf.DUMMYFUNCTION("""COMPUTED_VALUE"""),"AUD")</f>
        <v>AUD</v>
      </c>
      <c r="G58" s="10">
        <f ca="1">IFERROR(__xludf.DUMMYFUNCTION("""COMPUTED_VALUE"""),1410)</f>
        <v>1410</v>
      </c>
      <c r="H58" s="10">
        <f ca="1">IFERROR(__xludf.DUMMYFUNCTION("""COMPUTED_VALUE"""),16920)</f>
        <v>16920</v>
      </c>
    </row>
    <row r="59" spans="1:8">
      <c r="A59" s="8" t="str">
        <f ca="1">IFERROR(__xludf.DUMMYFUNCTION("""COMPUTED_VALUE"""),"AS-IG-AO-IMBE-2")</f>
        <v>AS-IG-AO-IMBE-2</v>
      </c>
      <c r="B59" s="8" t="str">
        <f ca="1">IFERROR(__xludf.DUMMYFUNCTION("""COMPUTED_VALUE"""),"Quarterly Plan AS-IG-AO-IMBE-2")</f>
        <v>Quarterly Plan AS-IG-AO-IMBE-2</v>
      </c>
      <c r="C59" s="9" t="str">
        <f ca="1">IFERROR(__xludf.DUMMYFUNCTION("""COMPUTED_VALUE"""),"Branded Mobile")</f>
        <v>Branded Mobile</v>
      </c>
      <c r="D59" s="8" t="str">
        <f ca="1">IFERROR(__xludf.DUMMYFUNCTION("""COMPUTED_VALUE"""),"Recurring")</f>
        <v>Recurring</v>
      </c>
      <c r="E59" s="9" t="str">
        <f ca="1">IFERROR(__xludf.DUMMYFUNCTION("""COMPUTED_VALUE"""),"Igloo Mobile Branded Edition - Pkg 2")</f>
        <v>Igloo Mobile Branded Edition - Pkg 2</v>
      </c>
      <c r="F59" s="10" t="str">
        <f ca="1">IFERROR(__xludf.DUMMYFUNCTION("""COMPUTED_VALUE"""),"AUD")</f>
        <v>AUD</v>
      </c>
      <c r="G59" s="8">
        <f ca="1">IFERROR(__xludf.DUMMYFUNCTION("""COMPUTED_VALUE"""),2116)</f>
        <v>2116</v>
      </c>
      <c r="H59" s="10">
        <f ca="1">IFERROR(__xludf.DUMMYFUNCTION("""COMPUTED_VALUE"""),25392)</f>
        <v>25392</v>
      </c>
    </row>
    <row r="60" spans="1:8">
      <c r="A60" s="8" t="str">
        <f ca="1">IFERROR(__xludf.DUMMYFUNCTION("""COMPUTED_VALUE"""),"AS-IG-AO-IMBE-2")</f>
        <v>AS-IG-AO-IMBE-2</v>
      </c>
      <c r="B60" s="8" t="str">
        <f ca="1">IFERROR(__xludf.DUMMYFUNCTION("""COMPUTED_VALUE"""),"Annual Plan AS-IG-AO-IMBE-2")</f>
        <v>Annual Plan AS-IG-AO-IMBE-2</v>
      </c>
      <c r="C60" s="9" t="str">
        <f ca="1">IFERROR(__xludf.DUMMYFUNCTION("""COMPUTED_VALUE"""),"Branded Mobile")</f>
        <v>Branded Mobile</v>
      </c>
      <c r="D60" s="8" t="str">
        <f ca="1">IFERROR(__xludf.DUMMYFUNCTION("""COMPUTED_VALUE"""),"Recurring")</f>
        <v>Recurring</v>
      </c>
      <c r="E60" s="9" t="str">
        <f ca="1">IFERROR(__xludf.DUMMYFUNCTION("""COMPUTED_VALUE"""),"Igloo Mobile Branded Edition - Pkg 2")</f>
        <v>Igloo Mobile Branded Edition - Pkg 2</v>
      </c>
      <c r="F60" s="10" t="str">
        <f ca="1">IFERROR(__xludf.DUMMYFUNCTION("""COMPUTED_VALUE"""),"AUD")</f>
        <v>AUD</v>
      </c>
      <c r="G60" s="8">
        <f ca="1">IFERROR(__xludf.DUMMYFUNCTION("""COMPUTED_VALUE"""),2116)</f>
        <v>2116</v>
      </c>
      <c r="H60" s="10">
        <f ca="1">IFERROR(__xludf.DUMMYFUNCTION("""COMPUTED_VALUE"""),25392)</f>
        <v>25392</v>
      </c>
    </row>
    <row r="61" spans="1:8">
      <c r="A61" s="8" t="str">
        <f ca="1">IFERROR(__xludf.DUMMYFUNCTION("""COMPUTED_VALUE"""),"AS-IG-AO-IMBE-3")</f>
        <v>AS-IG-AO-IMBE-3</v>
      </c>
      <c r="B61" s="8" t="str">
        <f ca="1">IFERROR(__xludf.DUMMYFUNCTION("""COMPUTED_VALUE"""),"Quarterly Plan AS-IG-AO-IMBE-3")</f>
        <v>Quarterly Plan AS-IG-AO-IMBE-3</v>
      </c>
      <c r="C61" s="9" t="str">
        <f ca="1">IFERROR(__xludf.DUMMYFUNCTION("""COMPUTED_VALUE"""),"Branded Mobile")</f>
        <v>Branded Mobile</v>
      </c>
      <c r="D61" s="8" t="str">
        <f ca="1">IFERROR(__xludf.DUMMYFUNCTION("""COMPUTED_VALUE"""),"Recurring")</f>
        <v>Recurring</v>
      </c>
      <c r="E61" s="9" t="str">
        <f ca="1">IFERROR(__xludf.DUMMYFUNCTION("""COMPUTED_VALUE"""),"Igloo Mobile Branded Edition - Pkg 3")</f>
        <v>Igloo Mobile Branded Edition - Pkg 3</v>
      </c>
      <c r="F61" s="8" t="str">
        <f ca="1">IFERROR(__xludf.DUMMYFUNCTION("""COMPUTED_VALUE"""),"AUD")</f>
        <v>AUD</v>
      </c>
      <c r="G61" s="10">
        <f ca="1">IFERROR(__xludf.DUMMYFUNCTION("""COMPUTED_VALUE"""),3526)</f>
        <v>3526</v>
      </c>
      <c r="H61" s="10">
        <f ca="1">IFERROR(__xludf.DUMMYFUNCTION("""COMPUTED_VALUE"""),42312)</f>
        <v>42312</v>
      </c>
    </row>
    <row r="62" spans="1:8">
      <c r="A62" s="8" t="str">
        <f ca="1">IFERROR(__xludf.DUMMYFUNCTION("""COMPUTED_VALUE"""),"AS-IG-AO-IMBE-3")</f>
        <v>AS-IG-AO-IMBE-3</v>
      </c>
      <c r="B62" s="8" t="str">
        <f ca="1">IFERROR(__xludf.DUMMYFUNCTION("""COMPUTED_VALUE"""),"Annual Plan AS-IG-AO-IMBE-3")</f>
        <v>Annual Plan AS-IG-AO-IMBE-3</v>
      </c>
      <c r="C62" s="9" t="str">
        <f ca="1">IFERROR(__xludf.DUMMYFUNCTION("""COMPUTED_VALUE"""),"Branded Mobile")</f>
        <v>Branded Mobile</v>
      </c>
      <c r="D62" s="8" t="str">
        <f ca="1">IFERROR(__xludf.DUMMYFUNCTION("""COMPUTED_VALUE"""),"Recurring")</f>
        <v>Recurring</v>
      </c>
      <c r="E62" s="9" t="str">
        <f ca="1">IFERROR(__xludf.DUMMYFUNCTION("""COMPUTED_VALUE"""),"Igloo Mobile Branded Edition - Pkg 3")</f>
        <v>Igloo Mobile Branded Edition - Pkg 3</v>
      </c>
      <c r="F62" s="8" t="str">
        <f ca="1">IFERROR(__xludf.DUMMYFUNCTION("""COMPUTED_VALUE"""),"AUD")</f>
        <v>AUD</v>
      </c>
      <c r="G62" s="10">
        <f ca="1">IFERROR(__xludf.DUMMYFUNCTION("""COMPUTED_VALUE"""),3526)</f>
        <v>3526</v>
      </c>
      <c r="H62" s="10">
        <f ca="1">IFERROR(__xludf.DUMMYFUNCTION("""COMPUTED_VALUE"""),42312)</f>
        <v>42312</v>
      </c>
    </row>
    <row r="63" spans="1:8">
      <c r="A63" s="8" t="str">
        <f ca="1">IFERROR(__xludf.DUMMYFUNCTION("""COMPUTED_VALUE"""),"AS-IG-AO-IN-PB")</f>
        <v>AS-IG-AO-IN-PB</v>
      </c>
      <c r="B63" s="8" t="str">
        <f ca="1">IFERROR(__xludf.DUMMYFUNCTION("""COMPUTED_VALUE"""),"Quarterly Plan AS-IG-AO-IN-PB")</f>
        <v>Quarterly Plan AS-IG-AO-IN-PB</v>
      </c>
      <c r="C63" s="9" t="str">
        <f ca="1">IFERROR(__xludf.DUMMYFUNCTION("""COMPUTED_VALUE"""),"Insights Program Bundle")</f>
        <v>Insights Program Bundle</v>
      </c>
      <c r="D63" s="8" t="str">
        <f ca="1">IFERROR(__xludf.DUMMYFUNCTION("""COMPUTED_VALUE"""),"Recurring")</f>
        <v>Recurring</v>
      </c>
      <c r="E63" s="9" t="str">
        <f ca="1">IFERROR(__xludf.DUMMYFUNCTION("""COMPUTED_VALUE"""),"Insights Program Bundle")</f>
        <v>Insights Program Bundle</v>
      </c>
      <c r="F63" s="10" t="str">
        <f ca="1">IFERROR(__xludf.DUMMYFUNCTION("""COMPUTED_VALUE"""),"AUD")</f>
        <v>AUD</v>
      </c>
      <c r="G63" s="10">
        <f ca="1">IFERROR(__xludf.DUMMYFUNCTION("""COMPUTED_VALUE"""),564)</f>
        <v>564</v>
      </c>
      <c r="H63" s="10">
        <f ca="1">IFERROR(__xludf.DUMMYFUNCTION("""COMPUTED_VALUE"""),6768)</f>
        <v>6768</v>
      </c>
    </row>
    <row r="64" spans="1:8">
      <c r="A64" s="8" t="str">
        <f ca="1">IFERROR(__xludf.DUMMYFUNCTION("""COMPUTED_VALUE"""),"AS-IG-AO-IN-PB")</f>
        <v>AS-IG-AO-IN-PB</v>
      </c>
      <c r="B64" s="8" t="str">
        <f ca="1">IFERROR(__xludf.DUMMYFUNCTION("""COMPUTED_VALUE"""),"Annual Plan AS-IG-AO-IN-PB")</f>
        <v>Annual Plan AS-IG-AO-IN-PB</v>
      </c>
      <c r="C64" s="9" t="str">
        <f ca="1">IFERROR(__xludf.DUMMYFUNCTION("""COMPUTED_VALUE"""),"Insights Program Bundle")</f>
        <v>Insights Program Bundle</v>
      </c>
      <c r="D64" s="8" t="str">
        <f ca="1">IFERROR(__xludf.DUMMYFUNCTION("""COMPUTED_VALUE"""),"Recurring")</f>
        <v>Recurring</v>
      </c>
      <c r="E64" s="9" t="str">
        <f ca="1">IFERROR(__xludf.DUMMYFUNCTION("""COMPUTED_VALUE"""),"Insights Program Bundle")</f>
        <v>Insights Program Bundle</v>
      </c>
      <c r="F64" s="10" t="str">
        <f ca="1">IFERROR(__xludf.DUMMYFUNCTION("""COMPUTED_VALUE"""),"AUD")</f>
        <v>AUD</v>
      </c>
      <c r="G64" s="10">
        <f ca="1">IFERROR(__xludf.DUMMYFUNCTION("""COMPUTED_VALUE"""),564)</f>
        <v>564</v>
      </c>
      <c r="H64" s="10">
        <f ca="1">IFERROR(__xludf.DUMMYFUNCTION("""COMPUTED_VALUE"""),6768)</f>
        <v>6768</v>
      </c>
    </row>
    <row r="65" spans="1:8">
      <c r="A65" s="8" t="str">
        <f ca="1">IFERROR(__xludf.DUMMYFUNCTION("""COMPUTED_VALUE"""),"AS-IG-AO-M-PP")</f>
        <v>AS-IG-AO-M-PP</v>
      </c>
      <c r="B65" s="8" t="str">
        <f ca="1">IFERROR(__xludf.DUMMYFUNCTION("""COMPUTED_VALUE"""),"Quarterly Plan AS-IG-AO-M-PP")</f>
        <v>Quarterly Plan AS-IG-AO-M-PP</v>
      </c>
      <c r="C65" s="9" t="str">
        <f ca="1">IFERROR(__xludf.DUMMYFUNCTION("""COMPUTED_VALUE"""),"Premium Profiles")</f>
        <v>Premium Profiles</v>
      </c>
      <c r="D65" s="8" t="str">
        <f ca="1">IFERROR(__xludf.DUMMYFUNCTION("""COMPUTED_VALUE"""),"Recurring")</f>
        <v>Recurring</v>
      </c>
      <c r="E65" s="9" t="str">
        <f ca="1">IFERROR(__xludf.DUMMYFUNCTION("""COMPUTED_VALUE"""),"Module: Premium Profiles")</f>
        <v>Module: Premium Profiles</v>
      </c>
      <c r="F65" s="10" t="str">
        <f ca="1">IFERROR(__xludf.DUMMYFUNCTION("""COMPUTED_VALUE"""),"AUD")</f>
        <v>AUD</v>
      </c>
      <c r="G65" s="10">
        <f ca="1">IFERROR(__xludf.DUMMYFUNCTION("""COMPUTED_VALUE"""),353)</f>
        <v>353</v>
      </c>
      <c r="H65" s="10">
        <f ca="1">IFERROR(__xludf.DUMMYFUNCTION("""COMPUTED_VALUE"""),4236)</f>
        <v>4236</v>
      </c>
    </row>
    <row r="66" spans="1:8">
      <c r="A66" s="8" t="str">
        <f ca="1">IFERROR(__xludf.DUMMYFUNCTION("""COMPUTED_VALUE"""),"AS-IG-AO-M-PP")</f>
        <v>AS-IG-AO-M-PP</v>
      </c>
      <c r="B66" s="8" t="str">
        <f ca="1">IFERROR(__xludf.DUMMYFUNCTION("""COMPUTED_VALUE"""),"Annual Plan AS-IG-AO-M-PP")</f>
        <v>Annual Plan AS-IG-AO-M-PP</v>
      </c>
      <c r="C66" s="9" t="str">
        <f ca="1">IFERROR(__xludf.DUMMYFUNCTION("""COMPUTED_VALUE"""),"Premium Profiles")</f>
        <v>Premium Profiles</v>
      </c>
      <c r="D66" s="8" t="str">
        <f ca="1">IFERROR(__xludf.DUMMYFUNCTION("""COMPUTED_VALUE"""),"Recurring")</f>
        <v>Recurring</v>
      </c>
      <c r="E66" s="9" t="str">
        <f ca="1">IFERROR(__xludf.DUMMYFUNCTION("""COMPUTED_VALUE"""),"Module: Premium Profiles")</f>
        <v>Module: Premium Profiles</v>
      </c>
      <c r="F66" s="10" t="str">
        <f ca="1">IFERROR(__xludf.DUMMYFUNCTION("""COMPUTED_VALUE"""),"AUD")</f>
        <v>AUD</v>
      </c>
      <c r="G66" s="10">
        <f ca="1">IFERROR(__xludf.DUMMYFUNCTION("""COMPUTED_VALUE"""),353)</f>
        <v>353</v>
      </c>
      <c r="H66" s="10">
        <f ca="1">IFERROR(__xludf.DUMMYFUNCTION("""COMPUTED_VALUE"""),4236)</f>
        <v>4236</v>
      </c>
    </row>
    <row r="67" spans="1:8">
      <c r="A67" s="8" t="str">
        <f ca="1">IFERROR(__xludf.DUMMYFUNCTION("""COMPUTED_VALUE"""),"AS-IG-AO-RECC-P")</f>
        <v>AS-IG-AO-RECC-P</v>
      </c>
      <c r="B67" s="8" t="str">
        <f ca="1">IFERROR(__xludf.DUMMYFUNCTION("""COMPUTED_VALUE"""),"Annual Plan AS-IG-AO-RECC-P")</f>
        <v>Annual Plan AS-IG-AO-RECC-P</v>
      </c>
      <c r="C67" s="9" t="str">
        <f ca="1">IFERROR(__xludf.DUMMYFUNCTION("""COMPUTED_VALUE"""),"Rec Center Plus")</f>
        <v>Rec Center Plus</v>
      </c>
      <c r="D67" s="8" t="str">
        <f ca="1">IFERROR(__xludf.DUMMYFUNCTION("""COMPUTED_VALUE"""),"Recurring")</f>
        <v>Recurring</v>
      </c>
      <c r="E67" s="9" t="str">
        <f ca="1">IFERROR(__xludf.DUMMYFUNCTION("""COMPUTED_VALUE"""),"Recognition Center Plus")</f>
        <v>Recognition Center Plus</v>
      </c>
      <c r="F67" s="10" t="str">
        <f ca="1">IFERROR(__xludf.DUMMYFUNCTION("""COMPUTED_VALUE"""),"AUD")</f>
        <v>AUD</v>
      </c>
      <c r="G67" s="10">
        <f ca="1">IFERROR(__xludf.DUMMYFUNCTION("""COMPUTED_VALUE"""),25388)</f>
        <v>25388</v>
      </c>
      <c r="H67" s="10">
        <f ca="1">IFERROR(__xludf.DUMMYFUNCTION("""COMPUTED_VALUE"""),304656)</f>
        <v>304656</v>
      </c>
    </row>
    <row r="68" spans="1:8">
      <c r="A68" s="8" t="str">
        <f ca="1">IFERROR(__xludf.DUMMYFUNCTION("""COMPUTED_VALUE"""),"AS-IG-AO-RECC-P")</f>
        <v>AS-IG-AO-RECC-P</v>
      </c>
      <c r="B68" s="8" t="str">
        <f ca="1">IFERROR(__xludf.DUMMYFUNCTION("""COMPUTED_VALUE"""),"Quarterly Plan AS-IG-AO-RECC-P")</f>
        <v>Quarterly Plan AS-IG-AO-RECC-P</v>
      </c>
      <c r="C68" s="9" t="str">
        <f ca="1">IFERROR(__xludf.DUMMYFUNCTION("""COMPUTED_VALUE"""),"Rec Center Plus")</f>
        <v>Rec Center Plus</v>
      </c>
      <c r="D68" s="8" t="str">
        <f ca="1">IFERROR(__xludf.DUMMYFUNCTION("""COMPUTED_VALUE"""),"Recurring")</f>
        <v>Recurring</v>
      </c>
      <c r="E68" s="9" t="str">
        <f ca="1">IFERROR(__xludf.DUMMYFUNCTION("""COMPUTED_VALUE"""),"Recognition Center Plus")</f>
        <v>Recognition Center Plus</v>
      </c>
      <c r="F68" s="10" t="str">
        <f ca="1">IFERROR(__xludf.DUMMYFUNCTION("""COMPUTED_VALUE"""),"AUD")</f>
        <v>AUD</v>
      </c>
      <c r="G68" s="8">
        <f ca="1">IFERROR(__xludf.DUMMYFUNCTION("""COMPUTED_VALUE"""),25388)</f>
        <v>25388</v>
      </c>
      <c r="H68" s="10">
        <f ca="1">IFERROR(__xludf.DUMMYFUNCTION("""COMPUTED_VALUE"""),304656)</f>
        <v>304656</v>
      </c>
    </row>
    <row r="69" spans="1:8">
      <c r="A69" s="8" t="str">
        <f ca="1">IFERROR(__xludf.DUMMYFUNCTION("""COMPUTED_VALUE"""),"AS-IG-AO-TR-IUL")</f>
        <v>AS-IG-AO-TR-IUL</v>
      </c>
      <c r="B69" s="8" t="str">
        <f ca="1">IFERROR(__xludf.DUMMYFUNCTION("""COMPUTED_VALUE"""),"Quarterly Plan AS-IG-AO-TR-IUL")</f>
        <v>Quarterly Plan AS-IG-AO-TR-IUL</v>
      </c>
      <c r="C69" s="9" t="str">
        <f ca="1">IFERROR(__xludf.DUMMYFUNCTION("""COMPUTED_VALUE"""),"Igloo University License")</f>
        <v>Igloo University License</v>
      </c>
      <c r="D69" s="8" t="str">
        <f ca="1">IFERROR(__xludf.DUMMYFUNCTION("""COMPUTED_VALUE"""),"Recurring")</f>
        <v>Recurring</v>
      </c>
      <c r="E69" s="9" t="str">
        <f ca="1">IFERROR(__xludf.DUMMYFUNCTION("""COMPUTED_VALUE"""),"Igloo University License")</f>
        <v>Igloo University License</v>
      </c>
      <c r="F69" s="10" t="str">
        <f ca="1">IFERROR(__xludf.DUMMYFUNCTION("""COMPUTED_VALUE"""),"AUD")</f>
        <v>AUD</v>
      </c>
      <c r="G69" s="10">
        <f ca="1">IFERROR(__xludf.DUMMYFUNCTION("""COMPUTED_VALUE"""),1269)</f>
        <v>1269</v>
      </c>
      <c r="H69" s="10">
        <f ca="1">IFERROR(__xludf.DUMMYFUNCTION("""COMPUTED_VALUE"""),15228)</f>
        <v>15228</v>
      </c>
    </row>
    <row r="70" spans="1:8">
      <c r="A70" s="8" t="str">
        <f ca="1">IFERROR(__xludf.DUMMYFUNCTION("""COMPUTED_VALUE"""),"AS-IG-AO-TR-IUL")</f>
        <v>AS-IG-AO-TR-IUL</v>
      </c>
      <c r="B70" s="8" t="str">
        <f ca="1">IFERROR(__xludf.DUMMYFUNCTION("""COMPUTED_VALUE"""),"Annual Plan AS-IG-AO-TR-IUL")</f>
        <v>Annual Plan AS-IG-AO-TR-IUL</v>
      </c>
      <c r="C70" s="9" t="str">
        <f ca="1">IFERROR(__xludf.DUMMYFUNCTION("""COMPUTED_VALUE"""),"Igloo University License")</f>
        <v>Igloo University License</v>
      </c>
      <c r="D70" s="8" t="str">
        <f ca="1">IFERROR(__xludf.DUMMYFUNCTION("""COMPUTED_VALUE"""),"Recurring")</f>
        <v>Recurring</v>
      </c>
      <c r="E70" s="9" t="str">
        <f ca="1">IFERROR(__xludf.DUMMYFUNCTION("""COMPUTED_VALUE"""),"Igloo University License")</f>
        <v>Igloo University License</v>
      </c>
      <c r="F70" s="10" t="str">
        <f ca="1">IFERROR(__xludf.DUMMYFUNCTION("""COMPUTED_VALUE"""),"AUD")</f>
        <v>AUD</v>
      </c>
      <c r="G70" s="10">
        <f ca="1">IFERROR(__xludf.DUMMYFUNCTION("""COMPUTED_VALUE"""),1269)</f>
        <v>1269</v>
      </c>
      <c r="H70" s="10">
        <f ca="1">IFERROR(__xludf.DUMMYFUNCTION("""COMPUTED_VALUE"""),15228)</f>
        <v>15228</v>
      </c>
    </row>
    <row r="71" spans="1:8">
      <c r="A71" s="8" t="str">
        <f ca="1">IFERROR(__xludf.DUMMYFUNCTION("""COMPUTED_VALUE"""),"AS-IG-DATA-EXPORT")</f>
        <v>AS-IG-DATA-EXPORT</v>
      </c>
      <c r="B71" s="8" t="str">
        <f ca="1">IFERROR(__xludf.DUMMYFUNCTION("""COMPUTED_VALUE"""),"AS-IG-DATA-EXPORT")</f>
        <v>AS-IG-DATA-EXPORT</v>
      </c>
      <c r="C71" s="9" t="str">
        <f ca="1">IFERROR(__xludf.DUMMYFUNCTION("""COMPUTED_VALUE"""),"Data Export")</f>
        <v>Data Export</v>
      </c>
      <c r="D71" s="8" t="str">
        <f ca="1">IFERROR(__xludf.DUMMYFUNCTION("""COMPUTED_VALUE"""),"One-Time")</f>
        <v>One-Time</v>
      </c>
      <c r="E71" s="9" t="str">
        <f ca="1">IFERROR(__xludf.DUMMYFUNCTION("""COMPUTED_VALUE"""),"Data Export")</f>
        <v>Data Export</v>
      </c>
      <c r="F71" s="10" t="str">
        <f ca="1">IFERROR(__xludf.DUMMYFUNCTION("""COMPUTED_VALUE"""),"AUD")</f>
        <v>AUD</v>
      </c>
      <c r="G71" s="10">
        <f ca="1">IFERROR(__xludf.DUMMYFUNCTION("""COMPUTED_VALUE"""),4231)</f>
        <v>4231</v>
      </c>
      <c r="H71" s="10">
        <f ca="1">IFERROR(__xludf.DUMMYFUNCTION("""COMPUTED_VALUE"""),4231)</f>
        <v>4231</v>
      </c>
    </row>
    <row r="72" spans="1:8">
      <c r="A72" s="8" t="str">
        <f ca="1">IFERROR(__xludf.DUMMYFUNCTION("""COMPUTED_VALUE"""),"AS-IG-DWEP-P")</f>
        <v>AS-IG-DWEP-P</v>
      </c>
      <c r="B72" s="8" t="str">
        <f ca="1">IFERROR(__xludf.DUMMYFUNCTION("""COMPUTED_VALUE"""),"Quarterly Plan AS-IG-DWEP-P")</f>
        <v>Quarterly Plan AS-IG-DWEP-P</v>
      </c>
      <c r="C72" s="9" t="str">
        <f ca="1">IFERROR(__xludf.DUMMYFUNCTION("""COMPUTED_VALUE"""),"DWP Excellence Program")</f>
        <v>DWP Excellence Program</v>
      </c>
      <c r="D72" s="8" t="str">
        <f ca="1">IFERROR(__xludf.DUMMYFUNCTION("""COMPUTED_VALUE"""),"Recurring")</f>
        <v>Recurring</v>
      </c>
      <c r="E72" s="9" t="str">
        <f ca="1">IFERROR(__xludf.DUMMYFUNCTION("""COMPUTED_VALUE"""),"Digital Workplace Excellence Program - Pro")</f>
        <v>Digital Workplace Excellence Program - Pro</v>
      </c>
      <c r="F72" s="10" t="str">
        <f ca="1">IFERROR(__xludf.DUMMYFUNCTION("""COMPUTED_VALUE"""),"AUD")</f>
        <v>AUD</v>
      </c>
      <c r="G72" s="10">
        <f ca="1">IFERROR(__xludf.DUMMYFUNCTION("""COMPUTED_VALUE"""),13540)</f>
        <v>13540</v>
      </c>
      <c r="H72" s="10">
        <f ca="1">IFERROR(__xludf.DUMMYFUNCTION("""COMPUTED_VALUE"""),162480)</f>
        <v>162480</v>
      </c>
    </row>
    <row r="73" spans="1:8">
      <c r="A73" s="8" t="str">
        <f ca="1">IFERROR(__xludf.DUMMYFUNCTION("""COMPUTED_VALUE"""),"AS-IG-DWEP-P")</f>
        <v>AS-IG-DWEP-P</v>
      </c>
      <c r="B73" s="8" t="str">
        <f ca="1">IFERROR(__xludf.DUMMYFUNCTION("""COMPUTED_VALUE"""),"Annual Plan AS-IG-DWEP-P")</f>
        <v>Annual Plan AS-IG-DWEP-P</v>
      </c>
      <c r="C73" s="9" t="str">
        <f ca="1">IFERROR(__xludf.DUMMYFUNCTION("""COMPUTED_VALUE"""),"DWP Excellence Program")</f>
        <v>DWP Excellence Program</v>
      </c>
      <c r="D73" s="8" t="str">
        <f ca="1">IFERROR(__xludf.DUMMYFUNCTION("""COMPUTED_VALUE"""),"Recurring")</f>
        <v>Recurring</v>
      </c>
      <c r="E73" s="9" t="str">
        <f ca="1">IFERROR(__xludf.DUMMYFUNCTION("""COMPUTED_VALUE"""),"Digital Workplace Excellence Program - Pro")</f>
        <v>Digital Workplace Excellence Program - Pro</v>
      </c>
      <c r="F73" s="10" t="str">
        <f ca="1">IFERROR(__xludf.DUMMYFUNCTION("""COMPUTED_VALUE"""),"AUD")</f>
        <v>AUD</v>
      </c>
      <c r="G73" s="10">
        <f ca="1">IFERROR(__xludf.DUMMYFUNCTION("""COMPUTED_VALUE"""),13540)</f>
        <v>13540</v>
      </c>
      <c r="H73" s="10">
        <f ca="1">IFERROR(__xludf.DUMMYFUNCTION("""COMPUTED_VALUE"""),162480)</f>
        <v>162480</v>
      </c>
    </row>
    <row r="74" spans="1:8">
      <c r="A74" s="8" t="str">
        <f ca="1">IFERROR(__xludf.DUMMYFUNCTION("""COMPUTED_VALUE"""),"AS-IG-EVOL-A-SS")</f>
        <v>AS-IG-EVOL-A-SS</v>
      </c>
      <c r="B74" s="8" t="str">
        <f ca="1">IFERROR(__xludf.DUMMYFUNCTION("""COMPUTED_VALUE"""),"AS-IG-EVOL-A-SS")</f>
        <v>AS-IG-EVOL-A-SS</v>
      </c>
      <c r="C74" s="9" t="str">
        <f ca="1">IFERROR(__xludf.DUMMYFUNCTION("""COMPUTED_VALUE"""),"Evolve - Architecture and Search")</f>
        <v>Evolve - Architecture and Search</v>
      </c>
      <c r="D74" s="8" t="str">
        <f ca="1">IFERROR(__xludf.DUMMYFUNCTION("""COMPUTED_VALUE"""),"One-Time")</f>
        <v>One-Time</v>
      </c>
      <c r="E74" s="9" t="str">
        <f ca="1">IFERROR(__xludf.DUMMYFUNCTION("""COMPUTED_VALUE"""),"Evolve - Architecture &amp; Search Support")</f>
        <v>Evolve - Architecture &amp; Search Support</v>
      </c>
      <c r="F74" s="10" t="str">
        <f ca="1">IFERROR(__xludf.DUMMYFUNCTION("""COMPUTED_VALUE"""),"AUD")</f>
        <v>AUD</v>
      </c>
      <c r="G74" s="10">
        <f ca="1">IFERROR(__xludf.DUMMYFUNCTION("""COMPUTED_VALUE"""),705)</f>
        <v>705</v>
      </c>
      <c r="H74" s="10">
        <f ca="1">IFERROR(__xludf.DUMMYFUNCTION("""COMPUTED_VALUE"""),705)</f>
        <v>705</v>
      </c>
    </row>
    <row r="75" spans="1:8">
      <c r="A75" s="8" t="str">
        <f ca="1">IFERROR(__xludf.DUMMYFUNCTION("""COMPUTED_VALUE"""),"AS-IG-EVOL-EVDE")</f>
        <v>AS-IG-EVOL-EVDE</v>
      </c>
      <c r="B75" s="8" t="str">
        <f ca="1">IFERROR(__xludf.DUMMYFUNCTION("""COMPUTED_VALUE"""),"AS-IG-EVOL-EVDE")</f>
        <v>AS-IG-EVOL-EVDE</v>
      </c>
      <c r="C75" s="9" t="str">
        <f ca="1">IFERROR(__xludf.DUMMYFUNCTION("""COMPUTED_VALUE"""),"Evolve - Enterprise VD")</f>
        <v>Evolve - Enterprise VD</v>
      </c>
      <c r="D75" s="8" t="str">
        <f ca="1">IFERROR(__xludf.DUMMYFUNCTION("""COMPUTED_VALUE"""),"One-Time")</f>
        <v>One-Time</v>
      </c>
      <c r="E75" s="9" t="str">
        <f ca="1">IFERROR(__xludf.DUMMYFUNCTION("""COMPUTED_VALUE"""),"Enterprise Visual Design Evolve")</f>
        <v>Enterprise Visual Design Evolve</v>
      </c>
      <c r="F75" s="10" t="str">
        <f ca="1">IFERROR(__xludf.DUMMYFUNCTION("""COMPUTED_VALUE"""),"AUD")</f>
        <v>AUD</v>
      </c>
      <c r="G75" s="10">
        <f ca="1">IFERROR(__xludf.DUMMYFUNCTION("""COMPUTED_VALUE"""),33851)</f>
        <v>33851</v>
      </c>
      <c r="H75" s="10">
        <f ca="1">IFERROR(__xludf.DUMMYFUNCTION("""COMPUTED_VALUE"""),33851)</f>
        <v>33851</v>
      </c>
    </row>
    <row r="76" spans="1:8">
      <c r="A76" s="8" t="str">
        <f ca="1">IFERROR(__xludf.DUMMYFUNCTION("""COMPUTED_VALUE"""),"AS-IG-FAIS")</f>
        <v>AS-IG-FAIS</v>
      </c>
      <c r="B76" s="8" t="str">
        <f ca="1">IFERROR(__xludf.DUMMYFUNCTION("""COMPUTED_VALUE"""),"AS-IG-FAIS")</f>
        <v>AS-IG-FAIS</v>
      </c>
      <c r="C76" s="9" t="str">
        <f ca="1">IFERROR(__xludf.DUMMYFUNCTION("""COMPUTED_VALUE"""),"Flex Advanced Implementation")</f>
        <v>Flex Advanced Implementation</v>
      </c>
      <c r="D76" s="8" t="str">
        <f ca="1">IFERROR(__xludf.DUMMYFUNCTION("""COMPUTED_VALUE"""),"One-Time")</f>
        <v>One-Time</v>
      </c>
      <c r="E76" s="9" t="str">
        <f ca="1">IFERROR(__xludf.DUMMYFUNCTION("""COMPUTED_VALUE"""),"Flex Advanced Implementation Services")</f>
        <v>Flex Advanced Implementation Services</v>
      </c>
      <c r="F76" s="10" t="str">
        <f ca="1">IFERROR(__xludf.DUMMYFUNCTION("""COMPUTED_VALUE"""),"AUD")</f>
        <v>AUD</v>
      </c>
      <c r="G76" s="10">
        <f ca="1">IFERROR(__xludf.DUMMYFUNCTION("""COMPUTED_VALUE"""),169255)</f>
        <v>169255</v>
      </c>
      <c r="H76" s="10">
        <f ca="1">IFERROR(__xludf.DUMMYFUNCTION("""COMPUTED_VALUE"""),169255)</f>
        <v>169255</v>
      </c>
    </row>
    <row r="77" spans="1:8">
      <c r="A77" s="8" t="str">
        <f ca="1">IFERROR(__xludf.DUMMYFUNCTION("""COMPUTED_VALUE"""),"AS-IG-FSIS")</f>
        <v>AS-IG-FSIS</v>
      </c>
      <c r="B77" s="8" t="str">
        <f ca="1">IFERROR(__xludf.DUMMYFUNCTION("""COMPUTED_VALUE"""),"AS-IG-FSIS")</f>
        <v>AS-IG-FSIS</v>
      </c>
      <c r="C77" s="9" t="str">
        <f ca="1">IFERROR(__xludf.DUMMYFUNCTION("""COMPUTED_VALUE"""),"Flex Standard Implementation")</f>
        <v>Flex Standard Implementation</v>
      </c>
      <c r="D77" s="8" t="str">
        <f ca="1">IFERROR(__xludf.DUMMYFUNCTION("""COMPUTED_VALUE"""),"One-Time")</f>
        <v>One-Time</v>
      </c>
      <c r="E77" s="9" t="str">
        <f ca="1">IFERROR(__xludf.DUMMYFUNCTION("""COMPUTED_VALUE"""),"Flex Standard Implementation Services")</f>
        <v>Flex Standard Implementation Services</v>
      </c>
      <c r="F77" s="10" t="str">
        <f ca="1">IFERROR(__xludf.DUMMYFUNCTION("""COMPUTED_VALUE"""),"AUD")</f>
        <v>AUD</v>
      </c>
      <c r="G77" s="10">
        <f ca="1">IFERROR(__xludf.DUMMYFUNCTION("""COMPUTED_VALUE"""),84627)</f>
        <v>84627</v>
      </c>
      <c r="H77" s="10">
        <f ca="1">IFERROR(__xludf.DUMMYFUNCTION("""COMPUTED_VALUE"""),84627)</f>
        <v>84627</v>
      </c>
    </row>
    <row r="78" spans="1:8">
      <c r="A78" s="8" t="str">
        <f ca="1">IFERROR(__xludf.DUMMYFUNCTION("""COMPUTED_VALUE"""),"AS-IG-HOSTING-MULTIT-I-1-10")</f>
        <v>AS-IG-HOSTING-MULTIT-I-1-10</v>
      </c>
      <c r="B78" s="8" t="str">
        <f ca="1">IFERROR(__xludf.DUMMYFUNCTION("""COMPUTED_VALUE"""),"Annual Plan AS-IG-HOSTING-MULTIT-I-1-10")</f>
        <v>Annual Plan AS-IG-HOSTING-MULTIT-I-1-10</v>
      </c>
      <c r="C78" s="9" t="str">
        <f ca="1">IFERROR(__xludf.DUMMYFUNCTION("""COMPUTED_VALUE"""),"Igloo Concurrent License")</f>
        <v>Igloo Concurrent License</v>
      </c>
      <c r="D78" s="8" t="str">
        <f ca="1">IFERROR(__xludf.DUMMYFUNCTION("""COMPUTED_VALUE"""),"Recurring")</f>
        <v>Recurring</v>
      </c>
      <c r="E78" s="9" t="str">
        <f ca="1">IFERROR(__xludf.DUMMYFUNCTION("""COMPUTED_VALUE"""),"Concurrent 1:10")</f>
        <v>Concurrent 1:10</v>
      </c>
      <c r="F78" s="10" t="str">
        <f ca="1">IFERROR(__xludf.DUMMYFUNCTION("""COMPUTED_VALUE"""),"AUD")</f>
        <v>AUD</v>
      </c>
      <c r="G78" s="10">
        <f ca="1">IFERROR(__xludf.DUMMYFUNCTION("""COMPUTED_VALUE"""),20.31)</f>
        <v>20.309999999999999</v>
      </c>
      <c r="H78" s="10">
        <f ca="1">IFERROR(__xludf.DUMMYFUNCTION("""COMPUTED_VALUE"""),243.72)</f>
        <v>243.72</v>
      </c>
    </row>
    <row r="79" spans="1:8">
      <c r="A79" s="8" t="str">
        <f ca="1">IFERROR(__xludf.DUMMYFUNCTION("""COMPUTED_VALUE"""),"AS-IG-HOSTING-MULTIT-I-1-10")</f>
        <v>AS-IG-HOSTING-MULTIT-I-1-10</v>
      </c>
      <c r="B79" s="8" t="str">
        <f ca="1">IFERROR(__xludf.DUMMYFUNCTION("""COMPUTED_VALUE"""),"Quarterly Plan AS-IG-HOSTING-MULTIT-I-1-10")</f>
        <v>Quarterly Plan AS-IG-HOSTING-MULTIT-I-1-10</v>
      </c>
      <c r="C79" s="9" t="str">
        <f ca="1">IFERROR(__xludf.DUMMYFUNCTION("""COMPUTED_VALUE"""),"Igloo Concurrent License")</f>
        <v>Igloo Concurrent License</v>
      </c>
      <c r="D79" s="8" t="str">
        <f ca="1">IFERROR(__xludf.DUMMYFUNCTION("""COMPUTED_VALUE"""),"Recurring")</f>
        <v>Recurring</v>
      </c>
      <c r="E79" s="9" t="str">
        <f ca="1">IFERROR(__xludf.DUMMYFUNCTION("""COMPUTED_VALUE"""),"Concurrent 1:10")</f>
        <v>Concurrent 1:10</v>
      </c>
      <c r="F79" s="10" t="str">
        <f ca="1">IFERROR(__xludf.DUMMYFUNCTION("""COMPUTED_VALUE"""),"AUD")</f>
        <v>AUD</v>
      </c>
      <c r="G79" s="10">
        <f ca="1">IFERROR(__xludf.DUMMYFUNCTION("""COMPUTED_VALUE"""),20.31)</f>
        <v>20.309999999999999</v>
      </c>
      <c r="H79" s="10">
        <f ca="1">IFERROR(__xludf.DUMMYFUNCTION("""COMPUTED_VALUE"""),243.72)</f>
        <v>243.72</v>
      </c>
    </row>
    <row r="80" spans="1:8">
      <c r="A80" s="8" t="str">
        <f ca="1">IFERROR(__xludf.DUMMYFUNCTION("""COMPUTED_VALUE"""),"AS-IG-IDS-DS-BP")</f>
        <v>AS-IG-IDS-DS-BP</v>
      </c>
      <c r="B80" s="8" t="str">
        <f ca="1">IFERROR(__xludf.DUMMYFUNCTION("""COMPUTED_VALUE"""),"AS-IG-IDS-DS-BP")</f>
        <v>AS-IG-IDS-DS-BP</v>
      </c>
      <c r="C80" s="9" t="str">
        <f ca="1">IFERROR(__xludf.DUMMYFUNCTION("""COMPUTED_VALUE"""),"IDS Scala Implement")</f>
        <v>IDS Scala Implement</v>
      </c>
      <c r="D80" s="8" t="str">
        <f ca="1">IFERROR(__xludf.DUMMYFUNCTION("""COMPUTED_VALUE"""),"One-Time")</f>
        <v>One-Time</v>
      </c>
      <c r="E80" s="9" t="str">
        <f ca="1">IFERROR(__xludf.DUMMYFUNCTION("""COMPUTED_VALUE"""),"Igloo Digital Signage Services Base Package - Standard Templates + Implementation")</f>
        <v>Igloo Digital Signage Services Base Package - Standard Templates + Implementation</v>
      </c>
      <c r="F80" s="10" t="str">
        <f ca="1">IFERROR(__xludf.DUMMYFUNCTION("""COMPUTED_VALUE"""),"AUD")</f>
        <v>AUD</v>
      </c>
      <c r="G80" s="8">
        <f ca="1">IFERROR(__xludf.DUMMYFUNCTION("""COMPUTED_VALUE"""),254)</f>
        <v>254</v>
      </c>
      <c r="H80" s="10">
        <f ca="1">IFERROR(__xludf.DUMMYFUNCTION("""COMPUTED_VALUE"""),254)</f>
        <v>254</v>
      </c>
    </row>
    <row r="81" spans="1:8">
      <c r="A81" s="8" t="str">
        <f ca="1">IFERROR(__xludf.DUMMYFUNCTION("""COMPUTED_VALUE"""),"AS-IG-IDS-DS-IISDS")</f>
        <v>AS-IG-IDS-DS-IISDS</v>
      </c>
      <c r="B81" s="8" t="str">
        <f ca="1">IFERROR(__xludf.DUMMYFUNCTION("""COMPUTED_VALUE"""),"AS-IG-IDS-DS-IISDS")</f>
        <v>AS-IG-IDS-DS-IISDS</v>
      </c>
      <c r="C81" s="9" t="str">
        <f ca="1">IFERROR(__xludf.DUMMYFUNCTION("""COMPUTED_VALUE"""),"IDS Igloo Implement")</f>
        <v>IDS Igloo Implement</v>
      </c>
      <c r="D81" s="8" t="str">
        <f ca="1">IFERROR(__xludf.DUMMYFUNCTION("""COMPUTED_VALUE"""),"One-Time")</f>
        <v>One-Time</v>
      </c>
      <c r="E81" s="9" t="str">
        <f ca="1">IFERROR(__xludf.DUMMYFUNCTION("""COMPUTED_VALUE"""),"Igloo Digital Signage Services Igloo Implementation Services for Digital Signage")</f>
        <v>Igloo Digital Signage Services Igloo Implementation Services for Digital Signage</v>
      </c>
      <c r="F81" s="10" t="str">
        <f ca="1">IFERROR(__xludf.DUMMYFUNCTION("""COMPUTED_VALUE"""),"AUD")</f>
        <v>AUD</v>
      </c>
      <c r="G81" s="10">
        <f ca="1">IFERROR(__xludf.DUMMYFUNCTION("""COMPUTED_VALUE"""),5924)</f>
        <v>5924</v>
      </c>
      <c r="H81" s="10">
        <f ca="1">IFERROR(__xludf.DUMMYFUNCTION("""COMPUTED_VALUE"""),5924)</f>
        <v>5924</v>
      </c>
    </row>
    <row r="82" spans="1:8">
      <c r="A82" s="8" t="str">
        <f ca="1">IFERROR(__xludf.DUMMYFUNCTION("""COMPUTED_VALUE"""),"AS-IG-IFAH-1UL")</f>
        <v>AS-IG-IFAH-1UL</v>
      </c>
      <c r="B82" s="8" t="str">
        <f ca="1">IFERROR(__xludf.DUMMYFUNCTION("""COMPUTED_VALUE"""),"Quarterly Plan AS-IG-IFAH-1UL")</f>
        <v>Quarterly Plan AS-IG-IFAH-1UL</v>
      </c>
      <c r="C82" s="9" t="str">
        <f ca="1">IFERROR(__xludf.DUMMYFUNCTION("""COMPUTED_VALUE"""),"Igloo Flex License")</f>
        <v>Igloo Flex License</v>
      </c>
      <c r="D82" s="8" t="str">
        <f ca="1">IFERROR(__xludf.DUMMYFUNCTION("""COMPUTED_VALUE"""),"Recurring")</f>
        <v>Recurring</v>
      </c>
      <c r="E82" s="9" t="str">
        <f ca="1">IFERROR(__xludf.DUMMYFUNCTION("""COMPUTED_VALUE"""),"Igloo Flex Authorized User License")</f>
        <v>Igloo Flex Authorized User License</v>
      </c>
      <c r="F82" s="10" t="str">
        <f ca="1">IFERROR(__xludf.DUMMYFUNCTION("""COMPUTED_VALUE"""),"AUD")</f>
        <v>AUD</v>
      </c>
      <c r="G82" s="10">
        <f ca="1">IFERROR(__xludf.DUMMYFUNCTION("""COMPUTED_VALUE"""),10.14)</f>
        <v>10.14</v>
      </c>
      <c r="H82" s="10">
        <f ca="1">IFERROR(__xludf.DUMMYFUNCTION("""COMPUTED_VALUE"""),121.68)</f>
        <v>121.68</v>
      </c>
    </row>
    <row r="83" spans="1:8">
      <c r="A83" s="8" t="str">
        <f ca="1">IFERROR(__xludf.DUMMYFUNCTION("""COMPUTED_VALUE"""),"AS-IG-IFAH-1UL")</f>
        <v>AS-IG-IFAH-1UL</v>
      </c>
      <c r="B83" s="8" t="str">
        <f ca="1">IFERROR(__xludf.DUMMYFUNCTION("""COMPUTED_VALUE"""),"Annual Plan AS-IG-IFAH-1UL")</f>
        <v>Annual Plan AS-IG-IFAH-1UL</v>
      </c>
      <c r="C83" s="9" t="str">
        <f ca="1">IFERROR(__xludf.DUMMYFUNCTION("""COMPUTED_VALUE"""),"Igloo Flex License")</f>
        <v>Igloo Flex License</v>
      </c>
      <c r="D83" s="8" t="str">
        <f ca="1">IFERROR(__xludf.DUMMYFUNCTION("""COMPUTED_VALUE"""),"Recurring")</f>
        <v>Recurring</v>
      </c>
      <c r="E83" s="9" t="str">
        <f ca="1">IFERROR(__xludf.DUMMYFUNCTION("""COMPUTED_VALUE"""),"Igloo Flex Authorized User License")</f>
        <v>Igloo Flex Authorized User License</v>
      </c>
      <c r="F83" s="10" t="str">
        <f ca="1">IFERROR(__xludf.DUMMYFUNCTION("""COMPUTED_VALUE"""),"AUD")</f>
        <v>AUD</v>
      </c>
      <c r="G83" s="10">
        <f ca="1">IFERROR(__xludf.DUMMYFUNCTION("""COMPUTED_VALUE"""),10.14)</f>
        <v>10.14</v>
      </c>
      <c r="H83" s="10">
        <f ca="1">IFERROR(__xludf.DUMMYFUNCTION("""COMPUTED_VALUE"""),121.68)</f>
        <v>121.68</v>
      </c>
    </row>
    <row r="84" spans="1:8">
      <c r="A84" s="8" t="str">
        <f ca="1">IFERROR(__xludf.DUMMYFUNCTION("""COMPUTED_VALUE"""),"AS-IG-IIS-UL")</f>
        <v>AS-IG-IIS-UL</v>
      </c>
      <c r="B84" s="8" t="str">
        <f ca="1">IFERROR(__xludf.DUMMYFUNCTION("""COMPUTED_VALUE"""),"Annual Plan AS-IG-IIS-UL")</f>
        <v>Annual Plan AS-IG-IIS-UL</v>
      </c>
      <c r="C84" s="9" t="str">
        <f ca="1">IFERROR(__xludf.DUMMYFUNCTION("""COMPUTED_VALUE"""),"IIS Queries")</f>
        <v>IIS Queries</v>
      </c>
      <c r="D84" s="8" t="str">
        <f ca="1">IFERROR(__xludf.DUMMYFUNCTION("""COMPUTED_VALUE"""),"Recurring")</f>
        <v>Recurring</v>
      </c>
      <c r="E84" s="9" t="str">
        <f ca="1">IFERROR(__xludf.DUMMYFUNCTION("""COMPUTED_VALUE"""),"Igloo Intelligent Search (IIS)")</f>
        <v>Igloo Intelligent Search (IIS)</v>
      </c>
      <c r="F84" s="10" t="str">
        <f ca="1">IFERROR(__xludf.DUMMYFUNCTION("""COMPUTED_VALUE"""),"AUD")</f>
        <v>AUD</v>
      </c>
      <c r="G84" s="10">
        <f ca="1">IFERROR(__xludf.DUMMYFUNCTION("""COMPUTED_VALUE"""),0.03)</f>
        <v>0.03</v>
      </c>
      <c r="H84" s="10">
        <f ca="1">IFERROR(__xludf.DUMMYFUNCTION("""COMPUTED_VALUE"""),0.36)</f>
        <v>0.36</v>
      </c>
    </row>
    <row r="85" spans="1:8">
      <c r="A85" s="8" t="str">
        <f ca="1">IFERROR(__xludf.DUMMYFUNCTION("""COMPUTED_VALUE"""),"AS-IG-IIS-UL")</f>
        <v>AS-IG-IIS-UL</v>
      </c>
      <c r="B85" s="8" t="str">
        <f ca="1">IFERROR(__xludf.DUMMYFUNCTION("""COMPUTED_VALUE"""),"Quarterly Plan AS-IG-IIS-UL")</f>
        <v>Quarterly Plan AS-IG-IIS-UL</v>
      </c>
      <c r="C85" s="9" t="str">
        <f ca="1">IFERROR(__xludf.DUMMYFUNCTION("""COMPUTED_VALUE"""),"IIS Queries")</f>
        <v>IIS Queries</v>
      </c>
      <c r="D85" s="8" t="str">
        <f ca="1">IFERROR(__xludf.DUMMYFUNCTION("""COMPUTED_VALUE"""),"Recurring")</f>
        <v>Recurring</v>
      </c>
      <c r="E85" s="9" t="str">
        <f ca="1">IFERROR(__xludf.DUMMYFUNCTION("""COMPUTED_VALUE"""),"Igloo Intelligent Search (IIS)")</f>
        <v>Igloo Intelligent Search (IIS)</v>
      </c>
      <c r="F85" s="10" t="str">
        <f ca="1">IFERROR(__xludf.DUMMYFUNCTION("""COMPUTED_VALUE"""),"AUD")</f>
        <v>AUD</v>
      </c>
      <c r="G85" s="8">
        <f ca="1">IFERROR(__xludf.DUMMYFUNCTION("""COMPUTED_VALUE"""),0.03)</f>
        <v>0.03</v>
      </c>
      <c r="H85" s="10">
        <f ca="1">IFERROR(__xludf.DUMMYFUNCTION("""COMPUTED_VALUE"""),0.36)</f>
        <v>0.36</v>
      </c>
    </row>
    <row r="86" spans="1:8">
      <c r="A86" s="8" t="str">
        <f ca="1">IFERROR(__xludf.DUMMYFUNCTION("""COMPUTED_VALUE"""),"AS-IG-IMBLS")</f>
        <v>AS-IG-IMBLS</v>
      </c>
      <c r="B86" s="8" t="str">
        <f ca="1">IFERROR(__xludf.DUMMYFUNCTION("""COMPUTED_VALUE"""),"AS-IG-IMBLS")</f>
        <v>AS-IG-IMBLS</v>
      </c>
      <c r="C86" s="9" t="str">
        <f ca="1">IFERROR(__xludf.DUMMYFUNCTION("""COMPUTED_VALUE"""),"Mobile Implement")</f>
        <v>Mobile Implement</v>
      </c>
      <c r="D86" s="8" t="str">
        <f ca="1">IFERROR(__xludf.DUMMYFUNCTION("""COMPUTED_VALUE"""),"One-Time")</f>
        <v>One-Time</v>
      </c>
      <c r="E86" s="9" t="str">
        <f ca="1">IFERROR(__xludf.DUMMYFUNCTION("""COMPUTED_VALUE"""),"Igloo Mobile Branded Launch Services")</f>
        <v>Igloo Mobile Branded Launch Services</v>
      </c>
      <c r="F86" s="10" t="str">
        <f ca="1">IFERROR(__xludf.DUMMYFUNCTION("""COMPUTED_VALUE"""),"AUD")</f>
        <v>AUD</v>
      </c>
      <c r="G86" s="10">
        <f ca="1">IFERROR(__xludf.DUMMYFUNCTION("""COMPUTED_VALUE"""),1410)</f>
        <v>1410</v>
      </c>
      <c r="H86" s="10">
        <f ca="1">IFERROR(__xludf.DUMMYFUNCTION("""COMPUTED_VALUE"""),1410)</f>
        <v>1410</v>
      </c>
    </row>
    <row r="87" spans="1:8">
      <c r="A87" s="8" t="str">
        <f ca="1">IFERROR(__xludf.DUMMYFUNCTION("""COMPUTED_VALUE"""),"AS-IG-MLP-IF")</f>
        <v>AS-IG-MLP-IF</v>
      </c>
      <c r="B87" s="8" t="str">
        <f ca="1">IFERROR(__xludf.DUMMYFUNCTION("""COMPUTED_VALUE"""),"AS-IG-MLP-IF")</f>
        <v>AS-IG-MLP-IF</v>
      </c>
      <c r="C87" s="9" t="str">
        <f ca="1">IFERROR(__xludf.DUMMYFUNCTION("""COMPUTED_VALUE"""),"Flex Migration")</f>
        <v>Flex Migration</v>
      </c>
      <c r="D87" s="8" t="str">
        <f ca="1">IFERROR(__xludf.DUMMYFUNCTION("""COMPUTED_VALUE"""),"One-Time")</f>
        <v>One-Time</v>
      </c>
      <c r="E87" s="9" t="str">
        <f ca="1">IFERROR(__xludf.DUMMYFUNCTION("""COMPUTED_VALUE"""),"Direct Migration From Legacy Platform to Igloo Flex")</f>
        <v>Direct Migration From Legacy Platform to Igloo Flex</v>
      </c>
      <c r="F87" s="10" t="str">
        <f ca="1">IFERROR(__xludf.DUMMYFUNCTION("""COMPUTED_VALUE"""),"AUD")</f>
        <v>AUD</v>
      </c>
      <c r="G87" s="10">
        <f ca="1">IFERROR(__xludf.DUMMYFUNCTION("""COMPUTED_VALUE"""),84627)</f>
        <v>84627</v>
      </c>
      <c r="H87" s="10">
        <f ca="1">IFERROR(__xludf.DUMMYFUNCTION("""COMPUTED_VALUE"""),84627)</f>
        <v>84627</v>
      </c>
    </row>
    <row r="88" spans="1:8">
      <c r="A88" s="8" t="str">
        <f ca="1">IFERROR(__xludf.DUMMYFUNCTION("""COMPUTED_VALUE"""),"AS-IG-MLP-IF2")</f>
        <v>AS-IG-MLP-IF2</v>
      </c>
      <c r="B88" s="8" t="str">
        <f ca="1">IFERROR(__xludf.DUMMYFUNCTION("""COMPUTED_VALUE"""),"AS-IG-MLP-IF2")</f>
        <v>AS-IG-MLP-IF2</v>
      </c>
      <c r="C88" s="9" t="str">
        <f ca="1">IFERROR(__xludf.DUMMYFUNCTION("""COMPUTED_VALUE"""),"Flex Migration")</f>
        <v>Flex Migration</v>
      </c>
      <c r="D88" s="8" t="str">
        <f ca="1">IFERROR(__xludf.DUMMYFUNCTION("""COMPUTED_VALUE"""),"One-Time")</f>
        <v>One-Time</v>
      </c>
      <c r="E88" s="9" t="str">
        <f ca="1">IFERROR(__xludf.DUMMYFUNCTION("""COMPUTED_VALUE"""),"Evolve Migration From Legacy Platform to Igloo Flex")</f>
        <v>Evolve Migration From Legacy Platform to Igloo Flex</v>
      </c>
      <c r="F88" s="10" t="str">
        <f ca="1">IFERROR(__xludf.DUMMYFUNCTION("""COMPUTED_VALUE"""),"AUD")</f>
        <v>AUD</v>
      </c>
      <c r="G88" s="10">
        <f ca="1">IFERROR(__xludf.DUMMYFUNCTION("""COMPUTED_VALUE"""),126941)</f>
        <v>126941</v>
      </c>
      <c r="H88" s="10">
        <f ca="1">IFERROR(__xludf.DUMMYFUNCTION("""COMPUTED_VALUE"""),126941)</f>
        <v>126941</v>
      </c>
    </row>
    <row r="89" spans="1:8">
      <c r="A89" s="8" t="str">
        <f ca="1">IFERROR(__xludf.DUMMYFUNCTION("""COMPUTED_VALUE"""),"AS-IG-M-PP-AF")</f>
        <v>AS-IG-M-PP-AF</v>
      </c>
      <c r="B89" s="8" t="str">
        <f ca="1">IFERROR(__xludf.DUMMYFUNCTION("""COMPUTED_VALUE"""),"AS-IG-M-PP-AF")</f>
        <v>AS-IG-M-PP-AF</v>
      </c>
      <c r="C89" s="9" t="str">
        <f ca="1">IFERROR(__xludf.DUMMYFUNCTION("""COMPUTED_VALUE"""),"Premium Profiles Implement")</f>
        <v>Premium Profiles Implement</v>
      </c>
      <c r="D89" s="8" t="str">
        <f ca="1">IFERROR(__xludf.DUMMYFUNCTION("""COMPUTED_VALUE"""),"One-Time")</f>
        <v>One-Time</v>
      </c>
      <c r="E89" s="9" t="str">
        <f ca="1">IFERROR(__xludf.DUMMYFUNCTION("""COMPUTED_VALUE"""),"Module: Premium Profiles - Additional Field Modification")</f>
        <v>Module: Premium Profiles - Additional Field Modification</v>
      </c>
      <c r="F89" s="10" t="str">
        <f ca="1">IFERROR(__xludf.DUMMYFUNCTION("""COMPUTED_VALUE"""),"AUD")</f>
        <v>AUD</v>
      </c>
      <c r="G89" s="10">
        <f ca="1">IFERROR(__xludf.DUMMYFUNCTION("""COMPUTED_VALUE"""),4231)</f>
        <v>4231</v>
      </c>
      <c r="H89" s="10">
        <f ca="1">IFERROR(__xludf.DUMMYFUNCTION("""COMPUTED_VALUE"""),4231)</f>
        <v>4231</v>
      </c>
    </row>
    <row r="90" spans="1:8">
      <c r="A90" s="8" t="str">
        <f ca="1">IFERROR(__xludf.DUMMYFUNCTION("""COMPUTED_VALUE"""),"AS-M-SEENSPIRE-CARDS")</f>
        <v>AS-M-SEENSPIRE-CARDS</v>
      </c>
      <c r="B90" s="8" t="str">
        <f ca="1">IFERROR(__xludf.DUMMYFUNCTION("""COMPUTED_VALUE"""),"Cards 25")</f>
        <v>Cards 25</v>
      </c>
      <c r="C90" s="9" t="str">
        <f ca="1">IFERROR(__xludf.DUMMYFUNCTION("""COMPUTED_VALUE"""),"Device Add-on")</f>
        <v>Device Add-on</v>
      </c>
      <c r="D90" s="8" t="str">
        <f ca="1">IFERROR(__xludf.DUMMYFUNCTION("""COMPUTED_VALUE"""),"Recurring")</f>
        <v>Recurring</v>
      </c>
      <c r="E90" s="9"/>
      <c r="F90" s="10" t="str">
        <f ca="1">IFERROR(__xludf.DUMMYFUNCTION("""COMPUTED_VALUE"""),"AUD")</f>
        <v>AUD</v>
      </c>
      <c r="G90" s="10">
        <f ca="1">IFERROR(__xludf.DUMMYFUNCTION("""COMPUTED_VALUE"""),37.24)</f>
        <v>37.24</v>
      </c>
      <c r="H90" s="10">
        <f ca="1">IFERROR(__xludf.DUMMYFUNCTION("""COMPUTED_VALUE"""),446.88)</f>
        <v>446.88</v>
      </c>
    </row>
    <row r="91" spans="1:8">
      <c r="A91" s="8" t="str">
        <f ca="1">IFERROR(__xludf.DUMMYFUNCTION("""COMPUTED_VALUE"""),"AS-M-SEENSPIRE-CARDS")</f>
        <v>AS-M-SEENSPIRE-CARDS</v>
      </c>
      <c r="B91" s="8" t="str">
        <f ca="1">IFERROR(__xludf.DUMMYFUNCTION("""COMPUTED_VALUE"""),"Cards 25")</f>
        <v>Cards 25</v>
      </c>
      <c r="C91" s="9" t="str">
        <f ca="1">IFERROR(__xludf.DUMMYFUNCTION("""COMPUTED_VALUE"""),"Platform")</f>
        <v>Platform</v>
      </c>
      <c r="D91" s="8" t="str">
        <f ca="1">IFERROR(__xludf.DUMMYFUNCTION("""COMPUTED_VALUE"""),"Recurring")</f>
        <v>Recurring</v>
      </c>
      <c r="E91" s="9"/>
      <c r="F91" s="10" t="str">
        <f ca="1">IFERROR(__xludf.DUMMYFUNCTION("""COMPUTED_VALUE"""),"AUD")</f>
        <v>AUD</v>
      </c>
      <c r="G91" s="10">
        <f ca="1">IFERROR(__xludf.DUMMYFUNCTION("""COMPUTED_VALUE"""),1058)</f>
        <v>1058</v>
      </c>
      <c r="H91" s="10">
        <f ca="1">IFERROR(__xludf.DUMMYFUNCTION("""COMPUTED_VALUE"""),12696)</f>
        <v>12696</v>
      </c>
    </row>
    <row r="92" spans="1:8">
      <c r="A92" s="8" t="str">
        <f ca="1">IFERROR(__xludf.DUMMYFUNCTION("""COMPUTED_VALUE"""),"AS-M-SEENSPIRE-CARDS")</f>
        <v>AS-M-SEENSPIRE-CARDS</v>
      </c>
      <c r="B92" s="8" t="str">
        <f ca="1">IFERROR(__xludf.DUMMYFUNCTION("""COMPUTED_VALUE"""),"Cards 50")</f>
        <v>Cards 50</v>
      </c>
      <c r="C92" s="9" t="str">
        <f ca="1">IFERROR(__xludf.DUMMYFUNCTION("""COMPUTED_VALUE"""),"Device Add-on")</f>
        <v>Device Add-on</v>
      </c>
      <c r="D92" s="8" t="str">
        <f ca="1">IFERROR(__xludf.DUMMYFUNCTION("""COMPUTED_VALUE"""),"Recurring")</f>
        <v>Recurring</v>
      </c>
      <c r="E92" s="9"/>
      <c r="F92" s="10" t="str">
        <f ca="1">IFERROR(__xludf.DUMMYFUNCTION("""COMPUTED_VALUE"""),"AUD")</f>
        <v>AUD</v>
      </c>
      <c r="G92" s="8">
        <f ca="1">IFERROR(__xludf.DUMMYFUNCTION("""COMPUTED_VALUE"""),37.24)</f>
        <v>37.24</v>
      </c>
      <c r="H92" s="10">
        <f ca="1">IFERROR(__xludf.DUMMYFUNCTION("""COMPUTED_VALUE"""),446.88)</f>
        <v>446.88</v>
      </c>
    </row>
    <row r="93" spans="1:8">
      <c r="A93" s="8" t="str">
        <f ca="1">IFERROR(__xludf.DUMMYFUNCTION("""COMPUTED_VALUE"""),"AS-M-SEENSPIRE-CARDS")</f>
        <v>AS-M-SEENSPIRE-CARDS</v>
      </c>
      <c r="B93" s="8" t="str">
        <f ca="1">IFERROR(__xludf.DUMMYFUNCTION("""COMPUTED_VALUE"""),"Cards 250")</f>
        <v>Cards 250</v>
      </c>
      <c r="C93" s="9" t="str">
        <f ca="1">IFERROR(__xludf.DUMMYFUNCTION("""COMPUTED_VALUE"""),"Device Add-on")</f>
        <v>Device Add-on</v>
      </c>
      <c r="D93" s="8" t="str">
        <f ca="1">IFERROR(__xludf.DUMMYFUNCTION("""COMPUTED_VALUE"""),"Recurring")</f>
        <v>Recurring</v>
      </c>
      <c r="E93" s="9"/>
      <c r="F93" s="10" t="str">
        <f ca="1">IFERROR(__xludf.DUMMYFUNCTION("""COMPUTED_VALUE"""),"AUD")</f>
        <v>AUD</v>
      </c>
      <c r="G93" s="10">
        <f ca="1">IFERROR(__xludf.DUMMYFUNCTION("""COMPUTED_VALUE"""),16.93)</f>
        <v>16.93</v>
      </c>
      <c r="H93" s="10">
        <f ca="1">IFERROR(__xludf.DUMMYFUNCTION("""COMPUTED_VALUE"""),203.16)</f>
        <v>203.16</v>
      </c>
    </row>
    <row r="94" spans="1:8">
      <c r="A94" s="8" t="str">
        <f ca="1">IFERROR(__xludf.DUMMYFUNCTION("""COMPUTED_VALUE"""),"AS-M-SEENSPIRE-CARDS")</f>
        <v>AS-M-SEENSPIRE-CARDS</v>
      </c>
      <c r="B94" s="8" t="str">
        <f ca="1">IFERROR(__xludf.DUMMYFUNCTION("""COMPUTED_VALUE"""),"Cards 1000")</f>
        <v>Cards 1000</v>
      </c>
      <c r="C94" s="9" t="str">
        <f ca="1">IFERROR(__xludf.DUMMYFUNCTION("""COMPUTED_VALUE"""),"Device Add-on")</f>
        <v>Device Add-on</v>
      </c>
      <c r="D94" s="8" t="str">
        <f ca="1">IFERROR(__xludf.DUMMYFUNCTION("""COMPUTED_VALUE"""),"Recurring")</f>
        <v>Recurring</v>
      </c>
      <c r="E94" s="9"/>
      <c r="F94" s="10" t="str">
        <f ca="1">IFERROR(__xludf.DUMMYFUNCTION("""COMPUTED_VALUE"""),"AUD")</f>
        <v>AUD</v>
      </c>
      <c r="G94" s="10">
        <f ca="1">IFERROR(__xludf.DUMMYFUNCTION("""COMPUTED_VALUE"""),8.46)</f>
        <v>8.4600000000000009</v>
      </c>
      <c r="H94" s="10">
        <f ca="1">IFERROR(__xludf.DUMMYFUNCTION("""COMPUTED_VALUE"""),101.52)</f>
        <v>101.52</v>
      </c>
    </row>
    <row r="95" spans="1:8">
      <c r="A95" s="8" t="str">
        <f ca="1">IFERROR(__xludf.DUMMYFUNCTION("""COMPUTED_VALUE"""),"AS-M-SEENSPIRE-CARDS")</f>
        <v>AS-M-SEENSPIRE-CARDS</v>
      </c>
      <c r="B95" s="8" t="str">
        <f ca="1">IFERROR(__xludf.DUMMYFUNCTION("""COMPUTED_VALUE"""),"Cards 3000")</f>
        <v>Cards 3000</v>
      </c>
      <c r="C95" s="9" t="str">
        <f ca="1">IFERROR(__xludf.DUMMYFUNCTION("""COMPUTED_VALUE"""),"Device Add-on")</f>
        <v>Device Add-on</v>
      </c>
      <c r="D95" s="8" t="str">
        <f ca="1">IFERROR(__xludf.DUMMYFUNCTION("""COMPUTED_VALUE"""),"Recurring")</f>
        <v>Recurring</v>
      </c>
      <c r="E95" s="9"/>
      <c r="F95" s="10" t="str">
        <f ca="1">IFERROR(__xludf.DUMMYFUNCTION("""COMPUTED_VALUE"""),"AUD")</f>
        <v>AUD</v>
      </c>
      <c r="G95" s="10">
        <f ca="1">IFERROR(__xludf.DUMMYFUNCTION("""COMPUTED_VALUE"""),5.08)</f>
        <v>5.08</v>
      </c>
      <c r="H95" s="10">
        <f ca="1">IFERROR(__xludf.DUMMYFUNCTION("""COMPUTED_VALUE"""),60.96)</f>
        <v>60.96</v>
      </c>
    </row>
    <row r="96" spans="1:8">
      <c r="A96" s="8" t="str">
        <f ca="1">IFERROR(__xludf.DUMMYFUNCTION("""COMPUTED_VALUE"""),"AS-M-SEENSPIRE-CARDS")</f>
        <v>AS-M-SEENSPIRE-CARDS</v>
      </c>
      <c r="B96" s="8" t="str">
        <f ca="1">IFERROR(__xludf.DUMMYFUNCTION("""COMPUTED_VALUE"""),"Cards 50")</f>
        <v>Cards 50</v>
      </c>
      <c r="C96" s="9" t="str">
        <f ca="1">IFERROR(__xludf.DUMMYFUNCTION("""COMPUTED_VALUE"""),"Platform")</f>
        <v>Platform</v>
      </c>
      <c r="D96" s="8" t="str">
        <f ca="1">IFERROR(__xludf.DUMMYFUNCTION("""COMPUTED_VALUE"""),"Recurring")</f>
        <v>Recurring</v>
      </c>
      <c r="E96" s="9"/>
      <c r="F96" s="10" t="str">
        <f ca="1">IFERROR(__xludf.DUMMYFUNCTION("""COMPUTED_VALUE"""),"AUD")</f>
        <v>AUD</v>
      </c>
      <c r="G96" s="10">
        <f ca="1">IFERROR(__xludf.DUMMYFUNCTION("""COMPUTED_VALUE"""),2116)</f>
        <v>2116</v>
      </c>
      <c r="H96" s="10">
        <f ca="1">IFERROR(__xludf.DUMMYFUNCTION("""COMPUTED_VALUE"""),25392)</f>
        <v>25392</v>
      </c>
    </row>
    <row r="97" spans="1:8">
      <c r="A97" s="8" t="str">
        <f ca="1">IFERROR(__xludf.DUMMYFUNCTION("""COMPUTED_VALUE"""),"AS-M-SEENSPIRE-CARDS")</f>
        <v>AS-M-SEENSPIRE-CARDS</v>
      </c>
      <c r="B97" s="8" t="str">
        <f ca="1">IFERROR(__xludf.DUMMYFUNCTION("""COMPUTED_VALUE"""),"Cards 250")</f>
        <v>Cards 250</v>
      </c>
      <c r="C97" s="9" t="str">
        <f ca="1">IFERROR(__xludf.DUMMYFUNCTION("""COMPUTED_VALUE"""),"Platform")</f>
        <v>Platform</v>
      </c>
      <c r="D97" s="8" t="str">
        <f ca="1">IFERROR(__xludf.DUMMYFUNCTION("""COMPUTED_VALUE"""),"Recurring")</f>
        <v>Recurring</v>
      </c>
      <c r="E97" s="9"/>
      <c r="F97" s="10" t="str">
        <f ca="1">IFERROR(__xludf.DUMMYFUNCTION("""COMPUTED_VALUE"""),"AUD")</f>
        <v>AUD</v>
      </c>
      <c r="G97" s="10">
        <f ca="1">IFERROR(__xludf.DUMMYFUNCTION("""COMPUTED_VALUE"""),4655)</f>
        <v>4655</v>
      </c>
      <c r="H97" s="10">
        <f ca="1">IFERROR(__xludf.DUMMYFUNCTION("""COMPUTED_VALUE"""),55860)</f>
        <v>55860</v>
      </c>
    </row>
    <row r="98" spans="1:8">
      <c r="A98" s="8" t="str">
        <f ca="1">IFERROR(__xludf.DUMMYFUNCTION("""COMPUTED_VALUE"""),"AS-M-SEENSPIRE-CARDS")</f>
        <v>AS-M-SEENSPIRE-CARDS</v>
      </c>
      <c r="B98" s="8" t="str">
        <f ca="1">IFERROR(__xludf.DUMMYFUNCTION("""COMPUTED_VALUE"""),"Cards 1000")</f>
        <v>Cards 1000</v>
      </c>
      <c r="C98" s="9" t="str">
        <f ca="1">IFERROR(__xludf.DUMMYFUNCTION("""COMPUTED_VALUE"""),"Platform")</f>
        <v>Platform</v>
      </c>
      <c r="D98" s="8" t="str">
        <f ca="1">IFERROR(__xludf.DUMMYFUNCTION("""COMPUTED_VALUE"""),"Recurring")</f>
        <v>Recurring</v>
      </c>
      <c r="E98" s="9"/>
      <c r="F98" s="10" t="str">
        <f ca="1">IFERROR(__xludf.DUMMYFUNCTION("""COMPUTED_VALUE"""),"AUD")</f>
        <v>AUD</v>
      </c>
      <c r="G98" s="10">
        <f ca="1">IFERROR(__xludf.DUMMYFUNCTION("""COMPUTED_VALUE"""),7447)</f>
        <v>7447</v>
      </c>
      <c r="H98" s="10">
        <f ca="1">IFERROR(__xludf.DUMMYFUNCTION("""COMPUTED_VALUE"""),89364)</f>
        <v>89364</v>
      </c>
    </row>
    <row r="99" spans="1:8">
      <c r="A99" s="8" t="str">
        <f ca="1">IFERROR(__xludf.DUMMYFUNCTION("""COMPUTED_VALUE"""),"AS-M-SEENSPIRE-CARDS")</f>
        <v>AS-M-SEENSPIRE-CARDS</v>
      </c>
      <c r="B99" s="8" t="str">
        <f ca="1">IFERROR(__xludf.DUMMYFUNCTION("""COMPUTED_VALUE"""),"Cards 3000")</f>
        <v>Cards 3000</v>
      </c>
      <c r="C99" s="9" t="str">
        <f ca="1">IFERROR(__xludf.DUMMYFUNCTION("""COMPUTED_VALUE"""),"Platform")</f>
        <v>Platform</v>
      </c>
      <c r="D99" s="8" t="str">
        <f ca="1">IFERROR(__xludf.DUMMYFUNCTION("""COMPUTED_VALUE"""),"Recurring")</f>
        <v>Recurring</v>
      </c>
      <c r="E99" s="9"/>
      <c r="F99" s="10" t="str">
        <f ca="1">IFERROR(__xludf.DUMMYFUNCTION("""COMPUTED_VALUE"""),"AUD")</f>
        <v>AUD</v>
      </c>
      <c r="G99" s="10">
        <f ca="1">IFERROR(__xludf.DUMMYFUNCTION("""COMPUTED_VALUE"""),14894)</f>
        <v>14894</v>
      </c>
      <c r="H99" s="10">
        <f ca="1">IFERROR(__xludf.DUMMYFUNCTION("""COMPUTED_VALUE"""),178728)</f>
        <v>178728</v>
      </c>
    </row>
    <row r="100" spans="1:8">
      <c r="A100" s="8" t="str">
        <f ca="1">IFERROR(__xludf.DUMMYFUNCTION("""COMPUTED_VALUE"""),"AS-OMNI-C-CL")</f>
        <v>AS-OMNI-C-CL</v>
      </c>
      <c r="B100" s="8" t="str">
        <f ca="1">IFERROR(__xludf.DUMMYFUNCTION("""COMPUTED_VALUE"""),"Annual Plan AS-OMNI-C-CL")</f>
        <v>Annual Plan AS-OMNI-C-CL</v>
      </c>
      <c r="C100" s="9" t="str">
        <f ca="1">IFERROR(__xludf.DUMMYFUNCTION("""COMPUTED_VALUE"""),"Platform")</f>
        <v>Platform</v>
      </c>
      <c r="D100" s="8" t="str">
        <f ca="1">IFERROR(__xludf.DUMMYFUNCTION("""COMPUTED_VALUE"""),"Recurring")</f>
        <v>Recurring</v>
      </c>
      <c r="E100" s="9" t="str">
        <f ca="1">IFERROR(__xludf.DUMMYFUNCTION("""COMPUTED_VALUE"""),"Appspace Cloud Subscription. Appspace Cloud access to all Appspace platform features for 50 devices, Premium Support, 50 GB cloud storage, and 50 GB/month cloud bandwidth.")</f>
        <v>Appspace Cloud Subscription. Appspace Cloud access to all Appspace platform features for 50 devices, Premium Support, 50 GB cloud storage, and 50 GB/month cloud bandwidth.</v>
      </c>
      <c r="F100" s="10" t="str">
        <f ca="1">IFERROR(__xludf.DUMMYFUNCTION("""COMPUTED_VALUE"""),"AUD")</f>
        <v>AUD</v>
      </c>
      <c r="G100" s="10">
        <f ca="1">IFERROR(__xludf.DUMMYFUNCTION("""COMPUTED_VALUE"""),3385)</f>
        <v>3385</v>
      </c>
      <c r="H100" s="10">
        <f ca="1">IFERROR(__xludf.DUMMYFUNCTION("""COMPUTED_VALUE"""),40620)</f>
        <v>40620</v>
      </c>
    </row>
    <row r="101" spans="1:8">
      <c r="A101" s="8" t="str">
        <f ca="1">IFERROR(__xludf.DUMMYFUNCTION("""COMPUTED_VALUE"""),"AS-OMNI-C-CL-EDU")</f>
        <v>AS-OMNI-C-CL-EDU</v>
      </c>
      <c r="B101" s="8" t="str">
        <f ca="1">IFERROR(__xludf.DUMMYFUNCTION("""COMPUTED_VALUE"""),"Annual Plan AS-OMNI-C-CL-EDU")</f>
        <v>Annual Plan AS-OMNI-C-CL-EDU</v>
      </c>
      <c r="C101" s="9" t="str">
        <f ca="1">IFERROR(__xludf.DUMMYFUNCTION("""COMPUTED_VALUE"""),"Platform")</f>
        <v>Platform</v>
      </c>
      <c r="D101" s="8" t="str">
        <f ca="1">IFERROR(__xludf.DUMMYFUNCTION("""COMPUTED_VALUE"""),"Recurring")</f>
        <v>Recurring</v>
      </c>
      <c r="E101" s="9" t="str">
        <f ca="1">IFERROR(__xludf.DUMMYFUNCTION("""COMPUTED_VALUE"""),"Appspace Education Cloud Subscription. Appspace Cloud access to all Appspace platform features for 50 devices, Premium Support, 50 GB cloud storage, and 50 GB/month cloud bandwidth.")</f>
        <v>Appspace Education Cloud Subscription. Appspace Cloud access to all Appspace platform features for 50 devices, Premium Support, 50 GB cloud storage, and 50 GB/month cloud bandwidth.</v>
      </c>
      <c r="F101" s="10" t="str">
        <f ca="1">IFERROR(__xludf.DUMMYFUNCTION("""COMPUTED_VALUE"""),"AUD")</f>
        <v>AUD</v>
      </c>
      <c r="G101" s="10">
        <f ca="1">IFERROR(__xludf.DUMMYFUNCTION("""COMPUTED_VALUE"""),3047)</f>
        <v>3047</v>
      </c>
      <c r="H101" s="10">
        <f ca="1">IFERROR(__xludf.DUMMYFUNCTION("""COMPUTED_VALUE"""),36564)</f>
        <v>36564</v>
      </c>
    </row>
    <row r="102" spans="1:8">
      <c r="A102" s="8" t="str">
        <f ca="1">IFERROR(__xludf.DUMMYFUNCTION("""COMPUTED_VALUE"""),"AS-OMNI-C-OP")</f>
        <v>AS-OMNI-C-OP</v>
      </c>
      <c r="B102" s="8" t="str">
        <f ca="1">IFERROR(__xludf.DUMMYFUNCTION("""COMPUTED_VALUE"""),"Annual Plan AS-OMNI-C-OP")</f>
        <v>Annual Plan AS-OMNI-C-OP</v>
      </c>
      <c r="C102" s="9" t="str">
        <f ca="1">IFERROR(__xludf.DUMMYFUNCTION("""COMPUTED_VALUE"""),"Platform")</f>
        <v>Platform</v>
      </c>
      <c r="D102" s="8" t="str">
        <f ca="1">IFERROR(__xludf.DUMMYFUNCTION("""COMPUTED_VALUE"""),"Recurring")</f>
        <v>Recurring</v>
      </c>
      <c r="E102" s="9" t="str">
        <f ca="1">IFERROR(__xludf.DUMMYFUNCTION("""COMPUTED_VALUE"""),"Appspace On-Prem Subscription. Self-managed on-prem, cloud or hybrid access to all Appspace platform features for 50 devices, Premium Support, 50 GB cloud storage, and 50 GB/month cloud bandwidth.")</f>
        <v>Appspace On-Prem Subscription. Self-managed on-prem, cloud or hybrid access to all Appspace platform features for 50 devices, Premium Support, 50 GB cloud storage, and 50 GB/month cloud bandwidth.</v>
      </c>
      <c r="F102" s="10" t="str">
        <f ca="1">IFERROR(__xludf.DUMMYFUNCTION("""COMPUTED_VALUE"""),"AUD")</f>
        <v>AUD</v>
      </c>
      <c r="G102" s="10">
        <f ca="1">IFERROR(__xludf.DUMMYFUNCTION("""COMPUTED_VALUE"""),6770)</f>
        <v>6770</v>
      </c>
      <c r="H102" s="10">
        <f ca="1">IFERROR(__xludf.DUMMYFUNCTION("""COMPUTED_VALUE"""),81240)</f>
        <v>81240</v>
      </c>
    </row>
    <row r="103" spans="1:8">
      <c r="A103" s="8" t="str">
        <f ca="1">IFERROR(__xludf.DUMMYFUNCTION("""COMPUTED_VALUE"""),"AS-OMNI-C-PV")</f>
        <v>AS-OMNI-C-PV</v>
      </c>
      <c r="B103" s="8" t="str">
        <f ca="1">IFERROR(__xludf.DUMMYFUNCTION("""COMPUTED_VALUE"""),"Annual Plan AS-OMNI-C-PV")</f>
        <v>Annual Plan AS-OMNI-C-PV</v>
      </c>
      <c r="C103" s="9" t="str">
        <f ca="1">IFERROR(__xludf.DUMMYFUNCTION("""COMPUTED_VALUE"""),"Platform")</f>
        <v>Platform</v>
      </c>
      <c r="D103" s="8" t="str">
        <f ca="1">IFERROR(__xludf.DUMMYFUNCTION("""COMPUTED_VALUE"""),"Recurring")</f>
        <v>Recurring</v>
      </c>
      <c r="E103" s="9" t="str">
        <f ca="1">IFERROR(__xludf.DUMMYFUNCTION("""COMPUTED_VALUE"""),"Appspace Private Cloud Subscription. Appspace private cloud instance access to all Appspace platform features for 50 devices, Premium Support, 100 GB cloud storage, and 100 GB/month cloud bandwidth.")</f>
        <v>Appspace Private Cloud Subscription. Appspace private cloud instance access to all Appspace platform features for 50 devices, Premium Support, 100 GB cloud storage, and 100 GB/month cloud bandwidth.</v>
      </c>
      <c r="F103" s="10" t="str">
        <f ca="1">IFERROR(__xludf.DUMMYFUNCTION("""COMPUTED_VALUE"""),"AUD")</f>
        <v>AUD</v>
      </c>
      <c r="G103" s="10">
        <f ca="1">IFERROR(__xludf.DUMMYFUNCTION("""COMPUTED_VALUE"""),5078)</f>
        <v>5078</v>
      </c>
      <c r="H103" s="10">
        <f ca="1">IFERROR(__xludf.DUMMYFUNCTION("""COMPUTED_VALUE"""),60936)</f>
        <v>60936</v>
      </c>
    </row>
    <row r="104" spans="1:8">
      <c r="A104" s="8" t="str">
        <f ca="1">IFERROR(__xludf.DUMMYFUNCTION("""COMPUTED_VALUE"""),"AS-OMNI-C-PV-EDU")</f>
        <v>AS-OMNI-C-PV-EDU</v>
      </c>
      <c r="B104" s="8" t="str">
        <f ca="1">IFERROR(__xludf.DUMMYFUNCTION("""COMPUTED_VALUE"""),"Annual Plan AS-OMNI-C-PV-EDU")</f>
        <v>Annual Plan AS-OMNI-C-PV-EDU</v>
      </c>
      <c r="C104" s="9" t="str">
        <f ca="1">IFERROR(__xludf.DUMMYFUNCTION("""COMPUTED_VALUE"""),"Platform")</f>
        <v>Platform</v>
      </c>
      <c r="D104" s="8" t="str">
        <f ca="1">IFERROR(__xludf.DUMMYFUNCTION("""COMPUTED_VALUE"""),"Recurring")</f>
        <v>Recurring</v>
      </c>
      <c r="E104" s="9" t="str">
        <f ca="1">IFERROR(__xludf.DUMMYFUNCTION("""COMPUTED_VALUE"""),"Appspace Education Private Cloud Subscription. Appspace private cloud instance access to all Appspace platform features for 50 devices, Premium Support, 100 GB cloud storage, and 100 GB/month cloud bandwidth.")</f>
        <v>Appspace Education Private Cloud Subscription. Appspace private cloud instance access to all Appspace platform features for 50 devices, Premium Support, 100 GB cloud storage, and 100 GB/month cloud bandwidth.</v>
      </c>
      <c r="F104" s="10" t="str">
        <f ca="1">IFERROR(__xludf.DUMMYFUNCTION("""COMPUTED_VALUE"""),"AUD")</f>
        <v>AUD</v>
      </c>
      <c r="G104" s="10">
        <f ca="1">IFERROR(__xludf.DUMMYFUNCTION("""COMPUTED_VALUE"""),4570)</f>
        <v>4570</v>
      </c>
      <c r="H104" s="10">
        <f ca="1">IFERROR(__xludf.DUMMYFUNCTION("""COMPUTED_VALUE"""),54840)</f>
        <v>54840</v>
      </c>
    </row>
    <row r="105" spans="1:8">
      <c r="A105" s="8" t="str">
        <f ca="1">IFERROR(__xludf.DUMMYFUNCTION("""COMPUTED_VALUE"""),"AS-OMNI-D2-CL")</f>
        <v>AS-OMNI-D2-CL</v>
      </c>
      <c r="B105" s="8" t="str">
        <f ca="1">IFERROR(__xludf.DUMMYFUNCTION("""COMPUTED_VALUE"""),"Annual Plan AS-OMNI-D2-CL")</f>
        <v>Annual Plan AS-OMNI-D2-CL</v>
      </c>
      <c r="C105" s="9" t="str">
        <f ca="1">IFERROR(__xludf.DUMMYFUNCTION("""COMPUTED_VALUE"""),"Platform")</f>
        <v>Platform</v>
      </c>
      <c r="D105" s="8" t="str">
        <f ca="1">IFERROR(__xludf.DUMMYFUNCTION("""COMPUTED_VALUE"""),"Recurring")</f>
        <v>Recurring</v>
      </c>
      <c r="E105" s="9" t="str">
        <f ca="1">IFERROR(__xludf.DUMMYFUNCTION("""COMPUTED_VALUE"""),"Appspace Cloud Subscription. Appspace Cloud access to all Appspace platform features for 500 devices, Premium Support, 500 GB cloud storage, and 500 GB/month cloud bandwidth.")</f>
        <v>Appspace Cloud Subscription. Appspace Cloud access to all Appspace platform features for 500 devices, Premium Support, 500 GB cloud storage, and 500 GB/month cloud bandwidth.</v>
      </c>
      <c r="F105" s="10" t="str">
        <f ca="1">IFERROR(__xludf.DUMMYFUNCTION("""COMPUTED_VALUE"""),"AUD")</f>
        <v>AUD</v>
      </c>
      <c r="G105" s="10">
        <f ca="1">IFERROR(__xludf.DUMMYFUNCTION("""COMPUTED_VALUE"""),12525)</f>
        <v>12525</v>
      </c>
      <c r="H105" s="10">
        <f ca="1">IFERROR(__xludf.DUMMYFUNCTION("""COMPUTED_VALUE"""),150300)</f>
        <v>150300</v>
      </c>
    </row>
    <row r="106" spans="1:8">
      <c r="A106" s="8" t="str">
        <f ca="1">IFERROR(__xludf.DUMMYFUNCTION("""COMPUTED_VALUE"""),"AS-OMNI-D2-OP")</f>
        <v>AS-OMNI-D2-OP</v>
      </c>
      <c r="B106" s="8" t="str">
        <f ca="1">IFERROR(__xludf.DUMMYFUNCTION("""COMPUTED_VALUE"""),"Annual Plan AS-OMNI-D2-OP")</f>
        <v>Annual Plan AS-OMNI-D2-OP</v>
      </c>
      <c r="C106" s="9" t="str">
        <f ca="1">IFERROR(__xludf.DUMMYFUNCTION("""COMPUTED_VALUE"""),"Platform")</f>
        <v>Platform</v>
      </c>
      <c r="D106" s="8" t="str">
        <f ca="1">IFERROR(__xludf.DUMMYFUNCTION("""COMPUTED_VALUE"""),"Recurring")</f>
        <v>Recurring</v>
      </c>
      <c r="E106" s="9" t="str">
        <f ca="1">IFERROR(__xludf.DUMMYFUNCTION("""COMPUTED_VALUE"""),"Appspace On-Prem Subscription. Self-managed on-prem, cloud or hybrid access to all Appspace platform features for 500 devices, Premium Support, 500 GB cloud storage, and 500 GB/month cloud bandwidth.")</f>
        <v>Appspace On-Prem Subscription. Self-managed on-prem, cloud or hybrid access to all Appspace platform features for 500 devices, Premium Support, 500 GB cloud storage, and 500 GB/month cloud bandwidth.</v>
      </c>
      <c r="F106" s="10" t="str">
        <f ca="1">IFERROR(__xludf.DUMMYFUNCTION("""COMPUTED_VALUE"""),"AUD")</f>
        <v>AUD</v>
      </c>
      <c r="G106" s="10">
        <f ca="1">IFERROR(__xludf.DUMMYFUNCTION("""COMPUTED_VALUE"""),25050)</f>
        <v>25050</v>
      </c>
      <c r="H106" s="10">
        <f ca="1">IFERROR(__xludf.DUMMYFUNCTION("""COMPUTED_VALUE"""),300600)</f>
        <v>300600</v>
      </c>
    </row>
    <row r="107" spans="1:8">
      <c r="A107" s="8" t="str">
        <f ca="1">IFERROR(__xludf.DUMMYFUNCTION("""COMPUTED_VALUE"""),"AS-OMNI-D2-PV")</f>
        <v>AS-OMNI-D2-PV</v>
      </c>
      <c r="B107" s="8" t="str">
        <f ca="1">IFERROR(__xludf.DUMMYFUNCTION("""COMPUTED_VALUE"""),"Annual Plan AS-OMNI-D2-PV")</f>
        <v>Annual Plan AS-OMNI-D2-PV</v>
      </c>
      <c r="C107" s="9" t="str">
        <f ca="1">IFERROR(__xludf.DUMMYFUNCTION("""COMPUTED_VALUE"""),"Platform")</f>
        <v>Platform</v>
      </c>
      <c r="D107" s="8" t="str">
        <f ca="1">IFERROR(__xludf.DUMMYFUNCTION("""COMPUTED_VALUE"""),"Recurring")</f>
        <v>Recurring</v>
      </c>
      <c r="E107" s="9" t="str">
        <f ca="1">IFERROR(__xludf.DUMMYFUNCTION("""COMPUTED_VALUE"""),"Appspace Private Cloud Subscription. Appspace private cloud instance access to all Appspace platform features for 500 devices, Premium Support, 1000 GB cloud storage, and 1000GB/month cloud bandwidth.")</f>
        <v>Appspace Private Cloud Subscription. Appspace private cloud instance access to all Appspace platform features for 500 devices, Premium Support, 1000 GB cloud storage, and 1000GB/month cloud bandwidth.</v>
      </c>
      <c r="F107" s="10" t="str">
        <f ca="1">IFERROR(__xludf.DUMMYFUNCTION("""COMPUTED_VALUE"""),"AUD")</f>
        <v>AUD</v>
      </c>
      <c r="G107" s="10">
        <f ca="1">IFERROR(__xludf.DUMMYFUNCTION("""COMPUTED_VALUE"""),18787)</f>
        <v>18787</v>
      </c>
      <c r="H107" s="10">
        <f ca="1">IFERROR(__xludf.DUMMYFUNCTION("""COMPUTED_VALUE"""),225444)</f>
        <v>225444</v>
      </c>
    </row>
    <row r="108" spans="1:8">
      <c r="A108" s="8" t="str">
        <f ca="1">IFERROR(__xludf.DUMMYFUNCTION("""COMPUTED_VALUE"""),"AS-OMNI-D-CL")</f>
        <v>AS-OMNI-D-CL</v>
      </c>
      <c r="B108" s="8" t="str">
        <f ca="1">IFERROR(__xludf.DUMMYFUNCTION("""COMPUTED_VALUE"""),"Annual Plan AS-OMNI-D-CL")</f>
        <v>Annual Plan AS-OMNI-D-CL</v>
      </c>
      <c r="C108" s="9" t="str">
        <f ca="1">IFERROR(__xludf.DUMMYFUNCTION("""COMPUTED_VALUE"""),"Platform")</f>
        <v>Platform</v>
      </c>
      <c r="D108" s="8" t="str">
        <f ca="1">IFERROR(__xludf.DUMMYFUNCTION("""COMPUTED_VALUE"""),"Recurring")</f>
        <v>Recurring</v>
      </c>
      <c r="E108" s="9" t="str">
        <f ca="1">IFERROR(__xludf.DUMMYFUNCTION("""COMPUTED_VALUE"""),"Appspace Cloud Subscription. Appspace Cloud access to all Appspace platform features for 250 devices, Premium Support, 250 GB cloud storage, and 250 GB/month cloud bandwidth.")</f>
        <v>Appspace Cloud Subscription. Appspace Cloud access to all Appspace platform features for 250 devices, Premium Support, 250 GB cloud storage, and 250 GB/month cloud bandwidth.</v>
      </c>
      <c r="F108" s="10" t="str">
        <f ca="1">IFERROR(__xludf.DUMMYFUNCTION("""COMPUTED_VALUE"""),"AUD")</f>
        <v>AUD</v>
      </c>
      <c r="G108" s="10">
        <f ca="1">IFERROR(__xludf.DUMMYFUNCTION("""COMPUTED_VALUE"""),9157)</f>
        <v>9157</v>
      </c>
      <c r="H108" s="10">
        <f ca="1">IFERROR(__xludf.DUMMYFUNCTION("""COMPUTED_VALUE"""),109884)</f>
        <v>109884</v>
      </c>
    </row>
    <row r="109" spans="1:8">
      <c r="A109" s="8" t="str">
        <f ca="1">IFERROR(__xludf.DUMMYFUNCTION("""COMPUTED_VALUE"""),"AS-OMNI-D-CL-EDU")</f>
        <v>AS-OMNI-D-CL-EDU</v>
      </c>
      <c r="B109" s="8" t="str">
        <f ca="1">IFERROR(__xludf.DUMMYFUNCTION("""COMPUTED_VALUE"""),"Annual Plan AS-OMNI-D-CL-EDU")</f>
        <v>Annual Plan AS-OMNI-D-CL-EDU</v>
      </c>
      <c r="C109" s="9" t="str">
        <f ca="1">IFERROR(__xludf.DUMMYFUNCTION("""COMPUTED_VALUE"""),"Platform")</f>
        <v>Platform</v>
      </c>
      <c r="D109" s="8" t="str">
        <f ca="1">IFERROR(__xludf.DUMMYFUNCTION("""COMPUTED_VALUE"""),"Recurring")</f>
        <v>Recurring</v>
      </c>
      <c r="E109" s="9" t="str">
        <f ca="1">IFERROR(__xludf.DUMMYFUNCTION("""COMPUTED_VALUE"""),"Appspace Education Cloud Subscription. Appspace Cloud access to all Appspace platform features for 250 devices, Premium Support, 250 GB cloud storage, and 250 GB/month cloud bandwidth.")</f>
        <v>Appspace Education Cloud Subscription. Appspace Cloud access to all Appspace platform features for 250 devices, Premium Support, 250 GB cloud storage, and 250 GB/month cloud bandwidth.</v>
      </c>
      <c r="F109" s="8" t="str">
        <f ca="1">IFERROR(__xludf.DUMMYFUNCTION("""COMPUTED_VALUE"""),"AUD")</f>
        <v>AUD</v>
      </c>
      <c r="G109" s="8">
        <f ca="1">IFERROR(__xludf.DUMMYFUNCTION("""COMPUTED_VALUE"""),8241)</f>
        <v>8241</v>
      </c>
      <c r="H109" s="10">
        <f ca="1">IFERROR(__xludf.DUMMYFUNCTION("""COMPUTED_VALUE"""),98892)</f>
        <v>98892</v>
      </c>
    </row>
    <row r="110" spans="1:8">
      <c r="A110" s="8" t="str">
        <f ca="1">IFERROR(__xludf.DUMMYFUNCTION("""COMPUTED_VALUE"""),"AS-OMNI-D-OP")</f>
        <v>AS-OMNI-D-OP</v>
      </c>
      <c r="B110" s="8" t="str">
        <f ca="1">IFERROR(__xludf.DUMMYFUNCTION("""COMPUTED_VALUE"""),"Annual Plan AS-OMNI-D-OP")</f>
        <v>Annual Plan AS-OMNI-D-OP</v>
      </c>
      <c r="C110" s="9" t="str">
        <f ca="1">IFERROR(__xludf.DUMMYFUNCTION("""COMPUTED_VALUE"""),"Platform")</f>
        <v>Platform</v>
      </c>
      <c r="D110" s="8" t="str">
        <f ca="1">IFERROR(__xludf.DUMMYFUNCTION("""COMPUTED_VALUE"""),"Recurring")</f>
        <v>Recurring</v>
      </c>
      <c r="E110" s="9" t="str">
        <f ca="1">IFERROR(__xludf.DUMMYFUNCTION("""COMPUTED_VALUE"""),"Appspace On-Prem Subscription. Self-managed on-prem, cloud or hybrid access to all Appspace platform features for 250 devices, Premium Support, 250 GB cloud storage, and 250 GB/month cloud bandwidth.")</f>
        <v>Appspace On-Prem Subscription. Self-managed on-prem, cloud or hybrid access to all Appspace platform features for 250 devices, Premium Support, 250 GB cloud storage, and 250 GB/month cloud bandwidth.</v>
      </c>
      <c r="F110" s="10" t="str">
        <f ca="1">IFERROR(__xludf.DUMMYFUNCTION("""COMPUTED_VALUE"""),"AUD")</f>
        <v>AUD</v>
      </c>
      <c r="G110" s="8">
        <f ca="1">IFERROR(__xludf.DUMMYFUNCTION("""COMPUTED_VALUE"""),18313)</f>
        <v>18313</v>
      </c>
      <c r="H110" s="10">
        <f ca="1">IFERROR(__xludf.DUMMYFUNCTION("""COMPUTED_VALUE"""),219756)</f>
        <v>219756</v>
      </c>
    </row>
    <row r="111" spans="1:8">
      <c r="A111" s="8" t="str">
        <f ca="1">IFERROR(__xludf.DUMMYFUNCTION("""COMPUTED_VALUE"""),"AS-OMNI-D-PV")</f>
        <v>AS-OMNI-D-PV</v>
      </c>
      <c r="B111" s="8" t="str">
        <f ca="1">IFERROR(__xludf.DUMMYFUNCTION("""COMPUTED_VALUE"""),"Annual Plan AS-OMNI-D-PV")</f>
        <v>Annual Plan AS-OMNI-D-PV</v>
      </c>
      <c r="C111" s="9" t="str">
        <f ca="1">IFERROR(__xludf.DUMMYFUNCTION("""COMPUTED_VALUE"""),"Platform")</f>
        <v>Platform</v>
      </c>
      <c r="D111" s="8" t="str">
        <f ca="1">IFERROR(__xludf.DUMMYFUNCTION("""COMPUTED_VALUE"""),"Recurring")</f>
        <v>Recurring</v>
      </c>
      <c r="E111" s="9" t="str">
        <f ca="1">IFERROR(__xludf.DUMMYFUNCTION("""COMPUTED_VALUE"""),"Appspace Private Cloud Subscription. Appspace private cloud instance access to all Appspace platform features for 250 devices, Premium Support, 500 GB cloud storage, and 500GB/month cloud bandwidth.")</f>
        <v>Appspace Private Cloud Subscription. Appspace private cloud instance access to all Appspace platform features for 250 devices, Premium Support, 500 GB cloud storage, and 500GB/month cloud bandwidth.</v>
      </c>
      <c r="F111" s="8" t="str">
        <f ca="1">IFERROR(__xludf.DUMMYFUNCTION("""COMPUTED_VALUE"""),"AUD")</f>
        <v>AUD</v>
      </c>
      <c r="G111" s="8">
        <f ca="1">IFERROR(__xludf.DUMMYFUNCTION("""COMPUTED_VALUE"""),13735)</f>
        <v>13735</v>
      </c>
      <c r="H111" s="10">
        <f ca="1">IFERROR(__xludf.DUMMYFUNCTION("""COMPUTED_VALUE"""),164820)</f>
        <v>164820</v>
      </c>
    </row>
    <row r="112" spans="1:8">
      <c r="A112" s="8" t="str">
        <f ca="1">IFERROR(__xludf.DUMMYFUNCTION("""COMPUTED_VALUE"""),"AS-OMNI-D-PV-EDU")</f>
        <v>AS-OMNI-D-PV-EDU</v>
      </c>
      <c r="B112" s="8" t="str">
        <f ca="1">IFERROR(__xludf.DUMMYFUNCTION("""COMPUTED_VALUE"""),"Annual Plan AS-OMNI-D-PV-EDU")</f>
        <v>Annual Plan AS-OMNI-D-PV-EDU</v>
      </c>
      <c r="C112" s="9" t="str">
        <f ca="1">IFERROR(__xludf.DUMMYFUNCTION("""COMPUTED_VALUE"""),"Platform")</f>
        <v>Platform</v>
      </c>
      <c r="D112" s="8" t="str">
        <f ca="1">IFERROR(__xludf.DUMMYFUNCTION("""COMPUTED_VALUE"""),"Recurring")</f>
        <v>Recurring</v>
      </c>
      <c r="E112" s="9" t="str">
        <f ca="1">IFERROR(__xludf.DUMMYFUNCTION("""COMPUTED_VALUE"""),"Appspace Education Private Cloud Subscription. Appspace private cloud instance access to all Appspace platform features for 250 devices, Premium Support, 500 GB cloud storage, and 500GB/month cloud bandwidth.")</f>
        <v>Appspace Education Private Cloud Subscription. Appspace private cloud instance access to all Appspace platform features for 250 devices, Premium Support, 500 GB cloud storage, and 500GB/month cloud bandwidth.</v>
      </c>
      <c r="F112" s="10" t="str">
        <f ca="1">IFERROR(__xludf.DUMMYFUNCTION("""COMPUTED_VALUE"""),"AUD")</f>
        <v>AUD</v>
      </c>
      <c r="G112" s="8">
        <f ca="1">IFERROR(__xludf.DUMMYFUNCTION("""COMPUTED_VALUE"""),12362)</f>
        <v>12362</v>
      </c>
      <c r="H112" s="10">
        <f ca="1">IFERROR(__xludf.DUMMYFUNCTION("""COMPUTED_VALUE"""),148344)</f>
        <v>148344</v>
      </c>
    </row>
    <row r="113" spans="1:8">
      <c r="A113" s="8" t="str">
        <f ca="1">IFERROR(__xludf.DUMMYFUNCTION("""COMPUTED_VALUE"""),"AS-OMNI-E2-CL")</f>
        <v>AS-OMNI-E2-CL</v>
      </c>
      <c r="B113" s="8" t="str">
        <f ca="1">IFERROR(__xludf.DUMMYFUNCTION("""COMPUTED_VALUE"""),"Annual Plan AS-OMNI-E2-CL")</f>
        <v>Annual Plan AS-OMNI-E2-CL</v>
      </c>
      <c r="C113" s="9" t="str">
        <f ca="1">IFERROR(__xludf.DUMMYFUNCTION("""COMPUTED_VALUE"""),"Platform")</f>
        <v>Platform</v>
      </c>
      <c r="D113" s="8" t="str">
        <f ca="1">IFERROR(__xludf.DUMMYFUNCTION("""COMPUTED_VALUE"""),"Recurring")</f>
        <v>Recurring</v>
      </c>
      <c r="E113" s="9" t="str">
        <f ca="1">IFERROR(__xludf.DUMMYFUNCTION("""COMPUTED_VALUE"""),"Appspace Cloud Subscription. Appspace Cloud access to all Appspace platform features for 2,000 devices, Elite Support, 2,000 GB cloud storage, and 2,000 GB/month cloud bandwidth.")</f>
        <v>Appspace Cloud Subscription. Appspace Cloud access to all Appspace platform features for 2,000 devices, Elite Support, 2,000 GB cloud storage, and 2,000 GB/month cloud bandwidth.</v>
      </c>
      <c r="F113" s="8" t="str">
        <f ca="1">IFERROR(__xludf.DUMMYFUNCTION("""COMPUTED_VALUE"""),"AUD")</f>
        <v>AUD</v>
      </c>
      <c r="G113" s="8">
        <f ca="1">IFERROR(__xludf.DUMMYFUNCTION("""COMPUTED_VALUE"""),28926)</f>
        <v>28926</v>
      </c>
      <c r="H113" s="10">
        <f ca="1">IFERROR(__xludf.DUMMYFUNCTION("""COMPUTED_VALUE"""),347112)</f>
        <v>347112</v>
      </c>
    </row>
    <row r="114" spans="1:8">
      <c r="A114" s="8" t="str">
        <f ca="1">IFERROR(__xludf.DUMMYFUNCTION("""COMPUTED_VALUE"""),"AS-OMNI-E2-OP")</f>
        <v>AS-OMNI-E2-OP</v>
      </c>
      <c r="B114" s="8" t="str">
        <f ca="1">IFERROR(__xludf.DUMMYFUNCTION("""COMPUTED_VALUE"""),"Annual Plan AS-OMNI-E2-OP")</f>
        <v>Annual Plan AS-OMNI-E2-OP</v>
      </c>
      <c r="C114" s="9" t="str">
        <f ca="1">IFERROR(__xludf.DUMMYFUNCTION("""COMPUTED_VALUE"""),"Platform")</f>
        <v>Platform</v>
      </c>
      <c r="D114" s="8" t="str">
        <f ca="1">IFERROR(__xludf.DUMMYFUNCTION("""COMPUTED_VALUE"""),"Recurring")</f>
        <v>Recurring</v>
      </c>
      <c r="E114" s="9" t="str">
        <f ca="1">IFERROR(__xludf.DUMMYFUNCTION("""COMPUTED_VALUE"""),"Appspace On-Prem Subscription. Self-managed on-prem, cloud or hybrid access to all Appspace platform features for 2,000 devices, Elite Support, 2,000 GB cloud storage, and 2,000 GB/month cloud bandwidth.")</f>
        <v>Appspace On-Prem Subscription. Self-managed on-prem, cloud or hybrid access to all Appspace platform features for 2,000 devices, Elite Support, 2,000 GB cloud storage, and 2,000 GB/month cloud bandwidth.</v>
      </c>
      <c r="F114" s="8" t="str">
        <f ca="1">IFERROR(__xludf.DUMMYFUNCTION("""COMPUTED_VALUE"""),"AUD")</f>
        <v>AUD</v>
      </c>
      <c r="G114" s="8">
        <f ca="1">IFERROR(__xludf.DUMMYFUNCTION("""COMPUTED_VALUE"""),57851)</f>
        <v>57851</v>
      </c>
      <c r="H114" s="10">
        <f ca="1">IFERROR(__xludf.DUMMYFUNCTION("""COMPUTED_VALUE"""),694212)</f>
        <v>694212</v>
      </c>
    </row>
    <row r="115" spans="1:8">
      <c r="A115" s="8" t="str">
        <f ca="1">IFERROR(__xludf.DUMMYFUNCTION("""COMPUTED_VALUE"""),"AS-OMNI-E2-PV")</f>
        <v>AS-OMNI-E2-PV</v>
      </c>
      <c r="B115" s="8" t="str">
        <f ca="1">IFERROR(__xludf.DUMMYFUNCTION("""COMPUTED_VALUE"""),"Annual Plan AS-OMNI-E2-PV")</f>
        <v>Annual Plan AS-OMNI-E2-PV</v>
      </c>
      <c r="C115" s="9" t="str">
        <f ca="1">IFERROR(__xludf.DUMMYFUNCTION("""COMPUTED_VALUE"""),"Platform")</f>
        <v>Platform</v>
      </c>
      <c r="D115" s="8" t="str">
        <f ca="1">IFERROR(__xludf.DUMMYFUNCTION("""COMPUTED_VALUE"""),"Recurring")</f>
        <v>Recurring</v>
      </c>
      <c r="E115" s="9" t="str">
        <f ca="1">IFERROR(__xludf.DUMMYFUNCTION("""COMPUTED_VALUE"""),"Appspace Private Cloud Subscription. Appspace private cloud instance access to all Appspace platform features for 2,000 devices, Elite Support, 4,000 GB cloud storage, and 4,000 GB/month cloud bandwidth.")</f>
        <v>Appspace Private Cloud Subscription. Appspace private cloud instance access to all Appspace platform features for 2,000 devices, Elite Support, 4,000 GB cloud storage, and 4,000 GB/month cloud bandwidth.</v>
      </c>
      <c r="F115" s="10" t="str">
        <f ca="1">IFERROR(__xludf.DUMMYFUNCTION("""COMPUTED_VALUE"""),"AUD")</f>
        <v>AUD</v>
      </c>
      <c r="G115" s="8">
        <f ca="1">IFERROR(__xludf.DUMMYFUNCTION("""COMPUTED_VALUE"""),43388)</f>
        <v>43388</v>
      </c>
      <c r="H115" s="10">
        <f ca="1">IFERROR(__xludf.DUMMYFUNCTION("""COMPUTED_VALUE"""),520656)</f>
        <v>520656</v>
      </c>
    </row>
    <row r="116" spans="1:8">
      <c r="A116" s="8" t="str">
        <f ca="1">IFERROR(__xludf.DUMMYFUNCTION("""COMPUTED_VALUE"""),"AS-OMNI-E-CL")</f>
        <v>AS-OMNI-E-CL</v>
      </c>
      <c r="B116" s="8" t="str">
        <f ca="1">IFERROR(__xludf.DUMMYFUNCTION("""COMPUTED_VALUE"""),"Annual Plan AS-OMNI-E-CL")</f>
        <v>Annual Plan AS-OMNI-E-CL</v>
      </c>
      <c r="C116" s="9" t="str">
        <f ca="1">IFERROR(__xludf.DUMMYFUNCTION("""COMPUTED_VALUE"""),"Platform")</f>
        <v>Platform</v>
      </c>
      <c r="D116" s="8" t="str">
        <f ca="1">IFERROR(__xludf.DUMMYFUNCTION("""COMPUTED_VALUE"""),"Recurring")</f>
        <v>Recurring</v>
      </c>
      <c r="E116" s="9" t="str">
        <f ca="1">IFERROR(__xludf.DUMMYFUNCTION("""COMPUTED_VALUE"""),"Appspace Cloud Subscription. Appspace Cloud access to all Appspace platform features for 1,000 devices, Elite Support, 1,000 GB cloud storage, and 1,000 GB/month cloud bandwidth.")</f>
        <v>Appspace Cloud Subscription. Appspace Cloud access to all Appspace platform features for 1,000 devices, Elite Support, 1,000 GB cloud storage, and 1,000 GB/month cloud bandwidth.</v>
      </c>
      <c r="F116" s="10" t="str">
        <f ca="1">IFERROR(__xludf.DUMMYFUNCTION("""COMPUTED_VALUE"""),"AUD")</f>
        <v>AUD</v>
      </c>
      <c r="G116" s="8">
        <f ca="1">IFERROR(__xludf.DUMMYFUNCTION("""COMPUTED_VALUE"""),18330)</f>
        <v>18330</v>
      </c>
      <c r="H116" s="10">
        <f ca="1">IFERROR(__xludf.DUMMYFUNCTION("""COMPUTED_VALUE"""),219960)</f>
        <v>219960</v>
      </c>
    </row>
    <row r="117" spans="1:8">
      <c r="A117" s="8" t="str">
        <f ca="1">IFERROR(__xludf.DUMMYFUNCTION("""COMPUTED_VALUE"""),"AS-OMNI-E-CL-EDU")</f>
        <v>AS-OMNI-E-CL-EDU</v>
      </c>
      <c r="B117" s="8" t="str">
        <f ca="1">IFERROR(__xludf.DUMMYFUNCTION("""COMPUTED_VALUE"""),"Annual Plan AS-OMNI-E-CL-EDU")</f>
        <v>Annual Plan AS-OMNI-E-CL-EDU</v>
      </c>
      <c r="C117" s="9" t="str">
        <f ca="1">IFERROR(__xludf.DUMMYFUNCTION("""COMPUTED_VALUE"""),"Platform")</f>
        <v>Platform</v>
      </c>
      <c r="D117" s="8" t="str">
        <f ca="1">IFERROR(__xludf.DUMMYFUNCTION("""COMPUTED_VALUE"""),"Recurring")</f>
        <v>Recurring</v>
      </c>
      <c r="E117" s="9" t="str">
        <f ca="1">IFERROR(__xludf.DUMMYFUNCTION("""COMPUTED_VALUE"""),"Appspace Education Cloud Subscription. Appspace Cloud access to all Appspace platform features for 1,000 devices, Elite Support, 1,000 GB cloud storage, and 1,000 GB/month cloud bandwidth.")</f>
        <v>Appspace Education Cloud Subscription. Appspace Cloud access to all Appspace platform features for 1,000 devices, Elite Support, 1,000 GB cloud storage, and 1,000 GB/month cloud bandwidth.</v>
      </c>
      <c r="F117" s="10" t="str">
        <f ca="1">IFERROR(__xludf.DUMMYFUNCTION("""COMPUTED_VALUE"""),"AUD")</f>
        <v>AUD</v>
      </c>
      <c r="G117" s="8">
        <f ca="1">IFERROR(__xludf.DUMMYFUNCTION("""COMPUTED_VALUE"""),16497)</f>
        <v>16497</v>
      </c>
      <c r="H117" s="10">
        <f ca="1">IFERROR(__xludf.DUMMYFUNCTION("""COMPUTED_VALUE"""),197964)</f>
        <v>197964</v>
      </c>
    </row>
    <row r="118" spans="1:8">
      <c r="A118" s="8" t="str">
        <f ca="1">IFERROR(__xludf.DUMMYFUNCTION("""COMPUTED_VALUE"""),"AS-OMNI-E-OP")</f>
        <v>AS-OMNI-E-OP</v>
      </c>
      <c r="B118" s="8" t="str">
        <f ca="1">IFERROR(__xludf.DUMMYFUNCTION("""COMPUTED_VALUE"""),"Annual Plan AS-OMNI-E-OP")</f>
        <v>Annual Plan AS-OMNI-E-OP</v>
      </c>
      <c r="C118" s="9" t="str">
        <f ca="1">IFERROR(__xludf.DUMMYFUNCTION("""COMPUTED_VALUE"""),"Platform")</f>
        <v>Platform</v>
      </c>
      <c r="D118" s="8" t="str">
        <f ca="1">IFERROR(__xludf.DUMMYFUNCTION("""COMPUTED_VALUE"""),"Recurring")</f>
        <v>Recurring</v>
      </c>
      <c r="E118" s="9" t="str">
        <f ca="1">IFERROR(__xludf.DUMMYFUNCTION("""COMPUTED_VALUE"""),"Appspace On-Prem Subscription. Self-managed on-prem, cloud or hybrid access to all Appspace platform features for 1,000 devices, Elite Support, 1,000 GB cloud storage, and 1,000 GB/month cloud bandwidth.")</f>
        <v>Appspace On-Prem Subscription. Self-managed on-prem, cloud or hybrid access to all Appspace platform features for 1,000 devices, Elite Support, 1,000 GB cloud storage, and 1,000 GB/month cloud bandwidth.</v>
      </c>
      <c r="F118" s="10" t="str">
        <f ca="1">IFERROR(__xludf.DUMMYFUNCTION("""COMPUTED_VALUE"""),"AUD")</f>
        <v>AUD</v>
      </c>
      <c r="G118" s="8">
        <f ca="1">IFERROR(__xludf.DUMMYFUNCTION("""COMPUTED_VALUE"""),36661)</f>
        <v>36661</v>
      </c>
      <c r="H118" s="10">
        <f ca="1">IFERROR(__xludf.DUMMYFUNCTION("""COMPUTED_VALUE"""),439932)</f>
        <v>439932</v>
      </c>
    </row>
    <row r="119" spans="1:8">
      <c r="A119" s="8" t="str">
        <f ca="1">IFERROR(__xludf.DUMMYFUNCTION("""COMPUTED_VALUE"""),"AS-OMNI-E-PV")</f>
        <v>AS-OMNI-E-PV</v>
      </c>
      <c r="B119" s="8" t="str">
        <f ca="1">IFERROR(__xludf.DUMMYFUNCTION("""COMPUTED_VALUE"""),"Annual Plan AS-OMNI-E-PV")</f>
        <v>Annual Plan AS-OMNI-E-PV</v>
      </c>
      <c r="C119" s="9" t="str">
        <f ca="1">IFERROR(__xludf.DUMMYFUNCTION("""COMPUTED_VALUE"""),"Platform")</f>
        <v>Platform</v>
      </c>
      <c r="D119" s="8" t="str">
        <f ca="1">IFERROR(__xludf.DUMMYFUNCTION("""COMPUTED_VALUE"""),"Recurring")</f>
        <v>Recurring</v>
      </c>
      <c r="E119" s="9" t="str">
        <f ca="1">IFERROR(__xludf.DUMMYFUNCTION("""COMPUTED_VALUE"""),"Appspace Private Cloud Subscription. Appspace private cloud instance access to all Appspace platform features for 1,000 devices, Elite Support, 2,000 GB cloud storage, and 2,000 GB/month cloud bandwidth.")</f>
        <v>Appspace Private Cloud Subscription. Appspace private cloud instance access to all Appspace platform features for 1,000 devices, Elite Support, 2,000 GB cloud storage, and 2,000 GB/month cloud bandwidth.</v>
      </c>
      <c r="F119" s="10" t="str">
        <f ca="1">IFERROR(__xludf.DUMMYFUNCTION("""COMPUTED_VALUE"""),"AUD")</f>
        <v>AUD</v>
      </c>
      <c r="G119" s="8">
        <f ca="1">IFERROR(__xludf.DUMMYFUNCTION("""COMPUTED_VALUE"""),27495)</f>
        <v>27495</v>
      </c>
      <c r="H119" s="10">
        <f ca="1">IFERROR(__xludf.DUMMYFUNCTION("""COMPUTED_VALUE"""),329940)</f>
        <v>329940</v>
      </c>
    </row>
    <row r="120" spans="1:8">
      <c r="A120" s="8" t="str">
        <f ca="1">IFERROR(__xludf.DUMMYFUNCTION("""COMPUTED_VALUE"""),"AS-OMNI-E-PV-EDU")</f>
        <v>AS-OMNI-E-PV-EDU</v>
      </c>
      <c r="B120" s="8" t="str">
        <f ca="1">IFERROR(__xludf.DUMMYFUNCTION("""COMPUTED_VALUE"""),"Annual Plan AS-OMNI-E-PV-EDU")</f>
        <v>Annual Plan AS-OMNI-E-PV-EDU</v>
      </c>
      <c r="C120" s="9" t="str">
        <f ca="1">IFERROR(__xludf.DUMMYFUNCTION("""COMPUTED_VALUE"""),"Platform")</f>
        <v>Platform</v>
      </c>
      <c r="D120" s="8" t="str">
        <f ca="1">IFERROR(__xludf.DUMMYFUNCTION("""COMPUTED_VALUE"""),"Recurring")</f>
        <v>Recurring</v>
      </c>
      <c r="E120" s="9" t="str">
        <f ca="1">IFERROR(__xludf.DUMMYFUNCTION("""COMPUTED_VALUE"""),"Appspace Education Private Cloud Subscription. Appspace private cloud instance access to all Appspace platform features for 1,000 devices, Elite Support, 2,000 GB cloud storage, and 2,000 GB/month cloud bandwidth.")</f>
        <v>Appspace Education Private Cloud Subscription. Appspace private cloud instance access to all Appspace platform features for 1,000 devices, Elite Support, 2,000 GB cloud storage, and 2,000 GB/month cloud bandwidth.</v>
      </c>
      <c r="F120" s="10" t="str">
        <f ca="1">IFERROR(__xludf.DUMMYFUNCTION("""COMPUTED_VALUE"""),"AUD")</f>
        <v>AUD</v>
      </c>
      <c r="G120" s="8">
        <f ca="1">IFERROR(__xludf.DUMMYFUNCTION("""COMPUTED_VALUE"""),24745)</f>
        <v>24745</v>
      </c>
      <c r="H120" s="10">
        <f ca="1">IFERROR(__xludf.DUMMYFUNCTION("""COMPUTED_VALUE"""),296940)</f>
        <v>296940</v>
      </c>
    </row>
    <row r="121" spans="1:8">
      <c r="A121" s="8" t="str">
        <f ca="1">IFERROR(__xludf.DUMMYFUNCTION("""COMPUTED_VALUE"""),"AS-OMNI-F-CL")</f>
        <v>AS-OMNI-F-CL</v>
      </c>
      <c r="B121" s="8" t="str">
        <f ca="1">IFERROR(__xludf.DUMMYFUNCTION("""COMPUTED_VALUE"""),"Annual Plan AS-OMNI-F-CL")</f>
        <v>Annual Plan AS-OMNI-F-CL</v>
      </c>
      <c r="C121" s="9" t="str">
        <f ca="1">IFERROR(__xludf.DUMMYFUNCTION("""COMPUTED_VALUE"""),"Platform")</f>
        <v>Platform</v>
      </c>
      <c r="D121" s="8" t="str">
        <f ca="1">IFERROR(__xludf.DUMMYFUNCTION("""COMPUTED_VALUE"""),"Recurring")</f>
        <v>Recurring</v>
      </c>
      <c r="E121" s="9" t="str">
        <f ca="1">IFERROR(__xludf.DUMMYFUNCTION("""COMPUTED_VALUE"""),"Appspace Cloud Subscription. Appspace Cloud access to all Appspace platform features for 3,000 devices, Elite Support, 3,000 GB cloud storage, and 3,000 GB/month cloud bandwidth.")</f>
        <v>Appspace Cloud Subscription. Appspace Cloud access to all Appspace platform features for 3,000 devices, Elite Support, 3,000 GB cloud storage, and 3,000 GB/month cloud bandwidth.</v>
      </c>
      <c r="F121" s="10" t="str">
        <f ca="1">IFERROR(__xludf.DUMMYFUNCTION("""COMPUTED_VALUE"""),"AUD")</f>
        <v>AUD</v>
      </c>
      <c r="G121" s="8">
        <f ca="1">IFERROR(__xludf.DUMMYFUNCTION("""COMPUTED_VALUE"""),37608)</f>
        <v>37608</v>
      </c>
      <c r="H121" s="10">
        <f ca="1">IFERROR(__xludf.DUMMYFUNCTION("""COMPUTED_VALUE"""),451296)</f>
        <v>451296</v>
      </c>
    </row>
    <row r="122" spans="1:8">
      <c r="A122" s="8" t="str">
        <f ca="1">IFERROR(__xludf.DUMMYFUNCTION("""COMPUTED_VALUE"""),"AS-OMNI-F-CL-EDU")</f>
        <v>AS-OMNI-F-CL-EDU</v>
      </c>
      <c r="B122" s="8" t="str">
        <f ca="1">IFERROR(__xludf.DUMMYFUNCTION("""COMPUTED_VALUE"""),"Annual Plan AS-OMNI-F-CL-EDU")</f>
        <v>Annual Plan AS-OMNI-F-CL-EDU</v>
      </c>
      <c r="C122" s="9" t="str">
        <f ca="1">IFERROR(__xludf.DUMMYFUNCTION("""COMPUTED_VALUE"""),"Platform")</f>
        <v>Platform</v>
      </c>
      <c r="D122" s="8" t="str">
        <f ca="1">IFERROR(__xludf.DUMMYFUNCTION("""COMPUTED_VALUE"""),"Recurring")</f>
        <v>Recurring</v>
      </c>
      <c r="E122" s="9" t="str">
        <f ca="1">IFERROR(__xludf.DUMMYFUNCTION("""COMPUTED_VALUE"""),"Appspace Education Cloud Subscription. Appspace Cloud access to all Appspace platform features for 3,000 devices, Elite Support, 3,000 GB cloud storage, and 3,000 GB/month cloud bandwidth.")</f>
        <v>Appspace Education Cloud Subscription. Appspace Cloud access to all Appspace platform features for 3,000 devices, Elite Support, 3,000 GB cloud storage, and 3,000 GB/month cloud bandwidth.</v>
      </c>
      <c r="F122" s="8" t="str">
        <f ca="1">IFERROR(__xludf.DUMMYFUNCTION("""COMPUTED_VALUE"""),"AUD")</f>
        <v>AUD</v>
      </c>
      <c r="G122" s="8">
        <f ca="1">IFERROR(__xludf.DUMMYFUNCTION("""COMPUTED_VALUE"""),33851)</f>
        <v>33851</v>
      </c>
      <c r="H122" s="10">
        <f ca="1">IFERROR(__xludf.DUMMYFUNCTION("""COMPUTED_VALUE"""),406212)</f>
        <v>406212</v>
      </c>
    </row>
    <row r="123" spans="1:8">
      <c r="A123" s="8" t="str">
        <f ca="1">IFERROR(__xludf.DUMMYFUNCTION("""COMPUTED_VALUE"""),"AS-OMNI-F-OP")</f>
        <v>AS-OMNI-F-OP</v>
      </c>
      <c r="B123" s="8" t="str">
        <f ca="1">IFERROR(__xludf.DUMMYFUNCTION("""COMPUTED_VALUE"""),"Annual Plan AS-OMNI-F-OP")</f>
        <v>Annual Plan AS-OMNI-F-OP</v>
      </c>
      <c r="C123" s="9" t="str">
        <f ca="1">IFERROR(__xludf.DUMMYFUNCTION("""COMPUTED_VALUE"""),"Platform")</f>
        <v>Platform</v>
      </c>
      <c r="D123" s="8" t="str">
        <f ca="1">IFERROR(__xludf.DUMMYFUNCTION("""COMPUTED_VALUE"""),"Recurring")</f>
        <v>Recurring</v>
      </c>
      <c r="E123" s="9" t="str">
        <f ca="1">IFERROR(__xludf.DUMMYFUNCTION("""COMPUTED_VALUE"""),"Appspace On-Prem Subscription. Self-managed on-prem, cloud or hybrid access to all Appspace platform features for 3,000 devices, Elite Support, 3,000 GB cloud storage, and 3,000 GB/month cloud bandwidth.")</f>
        <v>Appspace On-Prem Subscription. Self-managed on-prem, cloud or hybrid access to all Appspace platform features for 3,000 devices, Elite Support, 3,000 GB cloud storage, and 3,000 GB/month cloud bandwidth.</v>
      </c>
      <c r="F123" s="10" t="str">
        <f ca="1">IFERROR(__xludf.DUMMYFUNCTION("""COMPUTED_VALUE"""),"AUD")</f>
        <v>AUD</v>
      </c>
      <c r="G123" s="8">
        <f ca="1">IFERROR(__xludf.DUMMYFUNCTION("""COMPUTED_VALUE"""),75217)</f>
        <v>75217</v>
      </c>
      <c r="H123" s="10">
        <f ca="1">IFERROR(__xludf.DUMMYFUNCTION("""COMPUTED_VALUE"""),902604)</f>
        <v>902604</v>
      </c>
    </row>
    <row r="124" spans="1:8">
      <c r="A124" s="8" t="str">
        <f ca="1">IFERROR(__xludf.DUMMYFUNCTION("""COMPUTED_VALUE"""),"AS-OMNI-F-PV")</f>
        <v>AS-OMNI-F-PV</v>
      </c>
      <c r="B124" s="8" t="str">
        <f ca="1">IFERROR(__xludf.DUMMYFUNCTION("""COMPUTED_VALUE"""),"Annual Plan AS-OMNI-F-PV")</f>
        <v>Annual Plan AS-OMNI-F-PV</v>
      </c>
      <c r="C124" s="9" t="str">
        <f ca="1">IFERROR(__xludf.DUMMYFUNCTION("""COMPUTED_VALUE"""),"Platform")</f>
        <v>Platform</v>
      </c>
      <c r="D124" s="8" t="str">
        <f ca="1">IFERROR(__xludf.DUMMYFUNCTION("""COMPUTED_VALUE"""),"Recurring")</f>
        <v>Recurring</v>
      </c>
      <c r="E124" s="9" t="str">
        <f ca="1">IFERROR(__xludf.DUMMYFUNCTION("""COMPUTED_VALUE"""),"Appspace Private Cloud Subscription. Appspace private cloud instance access to all Appspace platform features for 3,000 devices, Elite Support, 6,000 GB cloud storage, and 6,000 GB/month cloud bandwidth.")</f>
        <v>Appspace Private Cloud Subscription. Appspace private cloud instance access to all Appspace platform features for 3,000 devices, Elite Support, 6,000 GB cloud storage, and 6,000 GB/month cloud bandwidth.</v>
      </c>
      <c r="F124" s="8" t="str">
        <f ca="1">IFERROR(__xludf.DUMMYFUNCTION("""COMPUTED_VALUE"""),"AUD")</f>
        <v>AUD</v>
      </c>
      <c r="G124" s="8">
        <f ca="1">IFERROR(__xludf.DUMMYFUNCTION("""COMPUTED_VALUE"""),56413)</f>
        <v>56413</v>
      </c>
      <c r="H124" s="10">
        <f ca="1">IFERROR(__xludf.DUMMYFUNCTION("""COMPUTED_VALUE"""),676956)</f>
        <v>676956</v>
      </c>
    </row>
    <row r="125" spans="1:8">
      <c r="A125" s="8" t="str">
        <f ca="1">IFERROR(__xludf.DUMMYFUNCTION("""COMPUTED_VALUE"""),"AS-OMNI-F-PV-EDU")</f>
        <v>AS-OMNI-F-PV-EDU</v>
      </c>
      <c r="B125" s="8" t="str">
        <f ca="1">IFERROR(__xludf.DUMMYFUNCTION("""COMPUTED_VALUE"""),"Annual Plan AS-OMNI-F-PV-EDU")</f>
        <v>Annual Plan AS-OMNI-F-PV-EDU</v>
      </c>
      <c r="C125" s="9" t="str">
        <f ca="1">IFERROR(__xludf.DUMMYFUNCTION("""COMPUTED_VALUE"""),"Platform")</f>
        <v>Platform</v>
      </c>
      <c r="D125" s="8" t="str">
        <f ca="1">IFERROR(__xludf.DUMMYFUNCTION("""COMPUTED_VALUE"""),"Recurring")</f>
        <v>Recurring</v>
      </c>
      <c r="E125" s="9" t="str">
        <f ca="1">IFERROR(__xludf.DUMMYFUNCTION("""COMPUTED_VALUE"""),"Appspace Education Private Cloud Subscription. Appspace private cloud instance access to all Appspace platform features for 3,000 devices, Elite Support, 6,000 GB cloud storage, and 6,000 GB/month cloud bandwidth.")</f>
        <v>Appspace Education Private Cloud Subscription. Appspace private cloud instance access to all Appspace platform features for 3,000 devices, Elite Support, 6,000 GB cloud storage, and 6,000 GB/month cloud bandwidth.</v>
      </c>
      <c r="F125" s="8" t="str">
        <f ca="1">IFERROR(__xludf.DUMMYFUNCTION("""COMPUTED_VALUE"""),"AUD")</f>
        <v>AUD</v>
      </c>
      <c r="G125" s="8">
        <f ca="1">IFERROR(__xludf.DUMMYFUNCTION("""COMPUTED_VALUE"""),50776)</f>
        <v>50776</v>
      </c>
      <c r="H125" s="10">
        <f ca="1">IFERROR(__xludf.DUMMYFUNCTION("""COMPUTED_VALUE"""),609312)</f>
        <v>609312</v>
      </c>
    </row>
    <row r="126" spans="1:8">
      <c r="A126" s="8" t="str">
        <f ca="1">IFERROR(__xludf.DUMMYFUNCTION("""COMPUTED_VALUE"""),"AS-RP-1000")</f>
        <v>AS-RP-1000</v>
      </c>
      <c r="B126" s="8" t="str">
        <f ca="1">IFERROR(__xludf.DUMMYFUNCTION("""COMPUTED_VALUE"""),"Annual Plan AS-RP-1000")</f>
        <v>Annual Plan AS-RP-1000</v>
      </c>
      <c r="C126" s="9" t="str">
        <f ca="1">IFERROR(__xludf.DUMMYFUNCTION("""COMPUTED_VALUE"""),"Resource Pack")</f>
        <v>Resource Pack</v>
      </c>
      <c r="D126" s="8" t="str">
        <f ca="1">IFERROR(__xludf.DUMMYFUNCTION("""COMPUTED_VALUE"""),"Recurring")</f>
        <v>Recurring</v>
      </c>
      <c r="E126" s="9" t="str">
        <f ca="1">IFERROR(__xludf.DUMMYFUNCTION("""COMPUTED_VALUE"""),"Appspace Resource Pack. Adds an extra 1,000 GB per month of bandwidth and 1,000 GB of storage on top of any Omni subscription plan.")</f>
        <v>Appspace Resource Pack. Adds an extra 1,000 GB per month of bandwidth and 1,000 GB of storage on top of any Omni subscription plan.</v>
      </c>
      <c r="F126" s="8" t="str">
        <f ca="1">IFERROR(__xludf.DUMMYFUNCTION("""COMPUTED_VALUE"""),"AUD")</f>
        <v>AUD</v>
      </c>
      <c r="G126" s="8">
        <f ca="1">IFERROR(__xludf.DUMMYFUNCTION("""COMPUTED_VALUE"""),339)</f>
        <v>339</v>
      </c>
      <c r="H126" s="10">
        <f ca="1">IFERROR(__xludf.DUMMYFUNCTION("""COMPUTED_VALUE"""),4068)</f>
        <v>4068</v>
      </c>
    </row>
    <row r="127" spans="1:8">
      <c r="A127" s="8" t="str">
        <f ca="1">IFERROR(__xludf.DUMMYFUNCTION("""COMPUTED_VALUE"""),"AS-ST-GB")</f>
        <v>AS-ST-GB</v>
      </c>
      <c r="B127" s="8" t="str">
        <f ca="1">IFERROR(__xludf.DUMMYFUNCTION("""COMPUTED_VALUE"""),"Annual Plan AS-ST-GB")</f>
        <v>Annual Plan AS-ST-GB</v>
      </c>
      <c r="C127" s="9" t="str">
        <f ca="1">IFERROR(__xludf.DUMMYFUNCTION("""COMPUTED_VALUE"""),"Storage")</f>
        <v>Storage</v>
      </c>
      <c r="D127" s="8" t="str">
        <f ca="1">IFERROR(__xludf.DUMMYFUNCTION("""COMPUTED_VALUE"""),"Recurring")</f>
        <v>Recurring</v>
      </c>
      <c r="E127" s="9" t="str">
        <f ca="1">IFERROR(__xludf.DUMMYFUNCTION("""COMPUTED_VALUE"""),"Monthly storage allocation (1 GB/month)")</f>
        <v>Monthly storage allocation (1 GB/month)</v>
      </c>
      <c r="F127" s="8" t="str">
        <f ca="1">IFERROR(__xludf.DUMMYFUNCTION("""COMPUTED_VALUE"""),"AUD")</f>
        <v>AUD</v>
      </c>
      <c r="G127" s="8">
        <f ca="1">IFERROR(__xludf.DUMMYFUNCTION("""COMPUTED_VALUE"""),0.16)</f>
        <v>0.16</v>
      </c>
      <c r="H127" s="8">
        <f ca="1">IFERROR(__xludf.DUMMYFUNCTION("""COMPUTED_VALUE"""),1.92)</f>
        <v>1.92</v>
      </c>
    </row>
    <row r="128" spans="1:8">
      <c r="A128" s="8" t="str">
        <f ca="1">IFERROR(__xludf.DUMMYFUNCTION("""COMPUTED_VALUE"""),"AS-SVC-CC")</f>
        <v>AS-SVC-CC</v>
      </c>
      <c r="B128" s="8" t="str">
        <f ca="1">IFERROR(__xludf.DUMMYFUNCTION("""COMPUTED_VALUE"""),"Annual Plan AS-SVC-CC")</f>
        <v>Annual Plan AS-SVC-CC</v>
      </c>
      <c r="C128" s="9" t="str">
        <f ca="1">IFERROR(__xludf.DUMMYFUNCTION("""COMPUTED_VALUE"""),"Complete Care")</f>
        <v>Complete Care</v>
      </c>
      <c r="D128" s="8" t="str">
        <f ca="1">IFERROR(__xludf.DUMMYFUNCTION("""COMPUTED_VALUE"""),"Recurring")</f>
        <v>Recurring</v>
      </c>
      <c r="E128" s="9" t="str">
        <f ca="1">IFERROR(__xludf.DUMMYFUNCTION("""COMPUTED_VALUE"""),"Complete Care")</f>
        <v>Complete Care</v>
      </c>
      <c r="F128" s="8" t="str">
        <f ca="1">IFERROR(__xludf.DUMMYFUNCTION("""COMPUTED_VALUE"""),"AUD")</f>
        <v>AUD</v>
      </c>
      <c r="G128" s="8">
        <f ca="1">IFERROR(__xludf.DUMMYFUNCTION("""COMPUTED_VALUE"""),50.78)</f>
        <v>50.78</v>
      </c>
      <c r="H128" s="10">
        <f ca="1">IFERROR(__xludf.DUMMYFUNCTION("""COMPUTED_VALUE"""),609.36)</f>
        <v>609.36</v>
      </c>
    </row>
    <row r="129" spans="1:8">
      <c r="A129" s="8" t="str">
        <f ca="1">IFERROR(__xludf.DUMMYFUNCTION("""COMPUTED_VALUE"""),"AS-SVC-COM-ADVISORY")</f>
        <v>AS-SVC-COM-ADVISORY</v>
      </c>
      <c r="B129" s="8" t="str">
        <f ca="1">IFERROR(__xludf.DUMMYFUNCTION("""COMPUTED_VALUE"""),"Annual Plan AS-SVC-COM-ADVISORY")</f>
        <v>Annual Plan AS-SVC-COM-ADVISORY</v>
      </c>
      <c r="C129" s="9" t="str">
        <f ca="1">IFERROR(__xludf.DUMMYFUNCTION("""COMPUTED_VALUE"""),"Workplace Communications Advisory")</f>
        <v>Workplace Communications Advisory</v>
      </c>
      <c r="D129" s="8" t="str">
        <f ca="1">IFERROR(__xludf.DUMMYFUNCTION("""COMPUTED_VALUE"""),"Recurring")</f>
        <v>Recurring</v>
      </c>
      <c r="E129" s="9" t="str">
        <f ca="1">IFERROR(__xludf.DUMMYFUNCTION("""COMPUTED_VALUE"""),"Workplace Communications Advisory - Comprehensive communications strategy for your digital and physical workplaces. Ongoing strategic insights into platform usage, industry trends, and product development.")</f>
        <v>Workplace Communications Advisory - Comprehensive communications strategy for your digital and physical workplaces. Ongoing strategic insights into platform usage, industry trends, and product development.</v>
      </c>
      <c r="F129" s="8" t="str">
        <f ca="1">IFERROR(__xludf.DUMMYFUNCTION("""COMPUTED_VALUE"""),"AUD")</f>
        <v>AUD</v>
      </c>
      <c r="G129" s="8">
        <f ca="1">IFERROR(__xludf.DUMMYFUNCTION("""COMPUTED_VALUE"""),4231)</f>
        <v>4231</v>
      </c>
      <c r="H129" s="10">
        <f ca="1">IFERROR(__xludf.DUMMYFUNCTION("""COMPUTED_VALUE"""),50772)</f>
        <v>50772</v>
      </c>
    </row>
    <row r="130" spans="1:8">
      <c r="A130" s="8" t="str">
        <f ca="1">IFERROR(__xludf.DUMMYFUNCTION("""COMPUTED_VALUE"""),"AS-SVC-COM-QST-BASIC")</f>
        <v>AS-SVC-COM-QST-BASIC</v>
      </c>
      <c r="B130" s="8" t="str">
        <f ca="1">IFERROR(__xludf.DUMMYFUNCTION("""COMPUTED_VALUE"""),"AS-SVC-COM-QST-BASIC")</f>
        <v>AS-SVC-COM-QST-BASIC</v>
      </c>
      <c r="C130" s="9" t="str">
        <f ca="1">IFERROR(__xludf.DUMMYFUNCTION("""COMPUTED_VALUE"""),"Workplace Comms Quick Start Basic")</f>
        <v>Workplace Comms Quick Start Basic</v>
      </c>
      <c r="D130" s="8" t="str">
        <f ca="1">IFERROR(__xludf.DUMMYFUNCTION("""COMPUTED_VALUE"""),"One-Time")</f>
        <v>One-Time</v>
      </c>
      <c r="E130" s="9" t="str">
        <f ca="1">IFERROR(__xludf.DUMMYFUNCTION("""COMPUTED_VALUE"""),"Workplace Comms Quick Start Basic - Onboarding basics,onboarding coordinator for 2 months, Welcome session and documentation,configuration guide and review, Administrator and Content Publisher on-demand webinars.")</f>
        <v>Workplace Comms Quick Start Basic - Onboarding basics,onboarding coordinator for 2 months, Welcome session and documentation,configuration guide and review, Administrator and Content Publisher on-demand webinars.</v>
      </c>
      <c r="F130" s="8" t="str">
        <f ca="1">IFERROR(__xludf.DUMMYFUNCTION("""COMPUTED_VALUE"""),"AUD")</f>
        <v>AUD</v>
      </c>
      <c r="G130" s="8">
        <f ca="1">IFERROR(__xludf.DUMMYFUNCTION("""COMPUTED_VALUE"""),4231)</f>
        <v>4231</v>
      </c>
      <c r="H130" s="10">
        <f ca="1">IFERROR(__xludf.DUMMYFUNCTION("""COMPUTED_VALUE"""),4231)</f>
        <v>4231</v>
      </c>
    </row>
    <row r="131" spans="1:8">
      <c r="A131" s="8" t="str">
        <f ca="1">IFERROR(__xludf.DUMMYFUNCTION("""COMPUTED_VALUE"""),"AS-SVC-COM-QST-ELITE")</f>
        <v>AS-SVC-COM-QST-ELITE</v>
      </c>
      <c r="B131" s="8" t="str">
        <f ca="1">IFERROR(__xludf.DUMMYFUNCTION("""COMPUTED_VALUE"""),"AS-SVC-COM-QST-ELITE")</f>
        <v>AS-SVC-COM-QST-ELITE</v>
      </c>
      <c r="C131" s="9" t="str">
        <f ca="1">IFERROR(__xludf.DUMMYFUNCTION("""COMPUTED_VALUE"""),"Workplace Comms Quick Start Elite")</f>
        <v>Workplace Comms Quick Start Elite</v>
      </c>
      <c r="D131" s="8" t="str">
        <f ca="1">IFERROR(__xludf.DUMMYFUNCTION("""COMPUTED_VALUE"""),"One-Time")</f>
        <v>One-Time</v>
      </c>
      <c r="E131" s="9" t="str">
        <f ca="1">IFERROR(__xludf.DUMMYFUNCTION("""COMPUTED_VALUE"""),"Workplace Comms Quick Start Elite - Enterprise and and local Workplace Comms implementation. Strategy session, Global-to-Local Governance Plan Global-to-Local Employee App Configuration, Device App Configuration,16 branded card templates, Administrator an"&amp;"d Content Publisher training.")</f>
        <v>Workplace Comms Quick Start Elite - Enterprise and and local Workplace Comms implementation. Strategy session, Global-to-Local Governance Plan Global-to-Local Employee App Configuration, Device App Configuration,16 branded card templates, Administrator and Content Publisher training.</v>
      </c>
      <c r="F131" s="8" t="str">
        <f ca="1">IFERROR(__xludf.DUMMYFUNCTION("""COMPUTED_VALUE"""),"AUD")</f>
        <v>AUD</v>
      </c>
      <c r="G131" s="8">
        <f ca="1">IFERROR(__xludf.DUMMYFUNCTION("""COMPUTED_VALUE"""),50776)</f>
        <v>50776</v>
      </c>
      <c r="H131" s="10">
        <f ca="1">IFERROR(__xludf.DUMMYFUNCTION("""COMPUTED_VALUE"""),50776)</f>
        <v>50776</v>
      </c>
    </row>
    <row r="132" spans="1:8">
      <c r="A132" s="8" t="str">
        <f ca="1">IFERROR(__xludf.DUMMYFUNCTION("""COMPUTED_VALUE"""),"AS-SVC-COM-QST-PREMIUM")</f>
        <v>AS-SVC-COM-QST-PREMIUM</v>
      </c>
      <c r="B132" s="8" t="str">
        <f ca="1">IFERROR(__xludf.DUMMYFUNCTION("""COMPUTED_VALUE"""),"AS-SVC-COM-QST-PREMIUM")</f>
        <v>AS-SVC-COM-QST-PREMIUM</v>
      </c>
      <c r="C132" s="9" t="str">
        <f ca="1">IFERROR(__xludf.DUMMYFUNCTION("""COMPUTED_VALUE"""),"Workplace Comms Quick Start Premium")</f>
        <v>Workplace Comms Quick Start Premium</v>
      </c>
      <c r="D132" s="8" t="str">
        <f ca="1">IFERROR(__xludf.DUMMYFUNCTION("""COMPUTED_VALUE"""),"One-Time")</f>
        <v>One-Time</v>
      </c>
      <c r="E132" s="9" t="str">
        <f ca="1">IFERROR(__xludf.DUMMYFUNCTION("""COMPUTED_VALUE"""),"Workplace Comms Quick Start Premium - Enterprise-level Workplace Communications implementation. Strategy session, Employee App theming and configuration, platform configuration, 16 branded card templates, Administrator and Content Publisher training.")</f>
        <v>Workplace Comms Quick Start Premium - Enterprise-level Workplace Communications implementation. Strategy session, Employee App theming and configuration, platform configuration, 16 branded card templates, Administrator and Content Publisher training.</v>
      </c>
      <c r="F132" s="8" t="str">
        <f ca="1">IFERROR(__xludf.DUMMYFUNCTION("""COMPUTED_VALUE"""),"AUD")</f>
        <v>AUD</v>
      </c>
      <c r="G132" s="8">
        <f ca="1">IFERROR(__xludf.DUMMYFUNCTION("""COMPUTED_VALUE"""),25388)</f>
        <v>25388</v>
      </c>
      <c r="H132" s="10">
        <f ca="1">IFERROR(__xludf.DUMMYFUNCTION("""COMPUTED_VALUE"""),25388)</f>
        <v>25388</v>
      </c>
    </row>
    <row r="133" spans="1:8">
      <c r="A133" s="8" t="str">
        <f ca="1">IFERROR(__xludf.DUMMYFUNCTION("""COMPUTED_VALUE"""),"AS-SVC-COM-REFRESH")</f>
        <v>AS-SVC-COM-REFRESH</v>
      </c>
      <c r="B133" s="8" t="str">
        <f ca="1">IFERROR(__xludf.DUMMYFUNCTION("""COMPUTED_VALUE"""),"AS-SVC-COM-REFRESH")</f>
        <v>AS-SVC-COM-REFRESH</v>
      </c>
      <c r="C133" s="9" t="str">
        <f ca="1">IFERROR(__xludf.DUMMYFUNCTION("""COMPUTED_VALUE"""),"Workplace Comms Refresh")</f>
        <v>Workplace Comms Refresh</v>
      </c>
      <c r="D133" s="8" t="str">
        <f ca="1">IFERROR(__xludf.DUMMYFUNCTION("""COMPUTED_VALUE"""),"One-Time")</f>
        <v>One-Time</v>
      </c>
      <c r="E133" s="9" t="str">
        <f ca="1">IFERROR(__xludf.DUMMYFUNCTION("""COMPUTED_VALUE"""),"Workplace Comms Refresh -  Appspace Digital Signage and/or Employee App comms and analytics review; library, channels, groups cleanup; documented best practices, workflow review session.")</f>
        <v>Workplace Comms Refresh -  Appspace Digital Signage and/or Employee App comms and analytics review; library, channels, groups cleanup; documented best practices, workflow review session.</v>
      </c>
      <c r="F133" s="8" t="str">
        <f ca="1">IFERROR(__xludf.DUMMYFUNCTION("""COMPUTED_VALUE"""),"AUD")</f>
        <v>AUD</v>
      </c>
      <c r="G133" s="8">
        <f ca="1">IFERROR(__xludf.DUMMYFUNCTION("""COMPUTED_VALUE"""),25388)</f>
        <v>25388</v>
      </c>
      <c r="H133" s="10">
        <f ca="1">IFERROR(__xludf.DUMMYFUNCTION("""COMPUTED_VALUE"""),25388)</f>
        <v>25388</v>
      </c>
    </row>
    <row r="134" spans="1:8">
      <c r="A134" s="8" t="str">
        <f ca="1">IFERROR(__xludf.DUMMYFUNCTION("""COMPUTED_VALUE"""),"AS-SVC-COM-REVIEW")</f>
        <v>AS-SVC-COM-REVIEW</v>
      </c>
      <c r="B134" s="8" t="str">
        <f ca="1">IFERROR(__xludf.DUMMYFUNCTION("""COMPUTED_VALUE"""),"AS-SVC-COM-REVIEW")</f>
        <v>AS-SVC-COM-REVIEW</v>
      </c>
      <c r="C134" s="9" t="str">
        <f ca="1">IFERROR(__xludf.DUMMYFUNCTION("""COMPUTED_VALUE"""),"Workplace Comms Review")</f>
        <v>Workplace Comms Review</v>
      </c>
      <c r="D134" s="8" t="str">
        <f ca="1">IFERROR(__xludf.DUMMYFUNCTION("""COMPUTED_VALUE"""),"One-Time")</f>
        <v>One-Time</v>
      </c>
      <c r="E134" s="9" t="str">
        <f ca="1">IFERROR(__xludf.DUMMYFUNCTION("""COMPUTED_VALUE"""),"Workplace Comms Review - Appspace Digital Signage and/or Employee App communications and analytics review, documented findings and recommendations, collaborative findings review session.")</f>
        <v>Workplace Comms Review - Appspace Digital Signage and/or Employee App communications and analytics review, documented findings and recommendations, collaborative findings review session.</v>
      </c>
      <c r="F134" s="8" t="str">
        <f ca="1">IFERROR(__xludf.DUMMYFUNCTION("""COMPUTED_VALUE"""),"AUD")</f>
        <v>AUD</v>
      </c>
      <c r="G134" s="8">
        <f ca="1">IFERROR(__xludf.DUMMYFUNCTION("""COMPUTED_VALUE"""),12694)</f>
        <v>12694</v>
      </c>
      <c r="H134" s="10">
        <f ca="1">IFERROR(__xludf.DUMMYFUNCTION("""COMPUTED_VALUE"""),12694)</f>
        <v>12694</v>
      </c>
    </row>
    <row r="135" spans="1:8">
      <c r="A135" s="8" t="str">
        <f ca="1">IFERROR(__xludf.DUMMYFUNCTION("""COMPUTED_VALUE"""),"AS-SVC-COM-TEMPLATES")</f>
        <v>AS-SVC-COM-TEMPLATES</v>
      </c>
      <c r="B135" s="8" t="str">
        <f ca="1">IFERROR(__xludf.DUMMYFUNCTION("""COMPUTED_VALUE"""),"AS-SVC-COM-TEMPLATES")</f>
        <v>AS-SVC-COM-TEMPLATES</v>
      </c>
      <c r="C135" s="9" t="str">
        <f ca="1">IFERROR(__xludf.DUMMYFUNCTION("""COMPUTED_VALUE"""),"Workplace Comms Branded Templates")</f>
        <v>Workplace Comms Branded Templates</v>
      </c>
      <c r="D135" s="8" t="str">
        <f ca="1">IFERROR(__xludf.DUMMYFUNCTION("""COMPUTED_VALUE"""),"One-Time")</f>
        <v>One-Time</v>
      </c>
      <c r="E135" s="9" t="str">
        <f ca="1">IFERROR(__xludf.DUMMYFUNCTION("""COMPUTED_VALUE"""),"Workplace Comms Branded Templates - Sixteen communication templates for your most common use cases, branded with your logo, fonts, and colors.")</f>
        <v>Workplace Comms Branded Templates - Sixteen communication templates for your most common use cases, branded with your logo, fonts, and colors.</v>
      </c>
      <c r="F135" s="8" t="str">
        <f ca="1">IFERROR(__xludf.DUMMYFUNCTION("""COMPUTED_VALUE"""),"AUD")</f>
        <v>AUD</v>
      </c>
      <c r="G135" s="8">
        <f ca="1">IFERROR(__xludf.DUMMYFUNCTION("""COMPUTED_VALUE"""),13540)</f>
        <v>13540</v>
      </c>
      <c r="H135" s="10">
        <f ca="1">IFERROR(__xludf.DUMMYFUNCTION("""COMPUTED_VALUE"""),13540)</f>
        <v>13540</v>
      </c>
    </row>
    <row r="136" spans="1:8">
      <c r="A136" s="8" t="str">
        <f ca="1">IFERROR(__xludf.DUMMYFUNCTION("""COMPUTED_VALUE"""),"AS-SVC-CSM")</f>
        <v>AS-SVC-CSM</v>
      </c>
      <c r="B136" s="8" t="str">
        <f ca="1">IFERROR(__xludf.DUMMYFUNCTION("""COMPUTED_VALUE"""),"Annual Plan AS-SVC-CSM")</f>
        <v>Annual Plan AS-SVC-CSM</v>
      </c>
      <c r="C136" s="9" t="str">
        <f ca="1">IFERROR(__xludf.DUMMYFUNCTION("""COMPUTED_VALUE"""),"Customer Success Manager")</f>
        <v>Customer Success Manager</v>
      </c>
      <c r="D136" s="8" t="str">
        <f ca="1">IFERROR(__xludf.DUMMYFUNCTION("""COMPUTED_VALUE"""),"Recurring")</f>
        <v>Recurring</v>
      </c>
      <c r="E136" s="9" t="str">
        <f ca="1">IFERROR(__xludf.DUMMYFUNCTION("""COMPUTED_VALUE"""),"Appspace Customer Success Manager - An Appspace Customer Success Manager is assigned to your account to assist you with getting the most out of your Appspace subscription.")</f>
        <v>Appspace Customer Success Manager - An Appspace Customer Success Manager is assigned to your account to assist you with getting the most out of your Appspace subscription.</v>
      </c>
      <c r="F136" s="8" t="str">
        <f ca="1">IFERROR(__xludf.DUMMYFUNCTION("""COMPUTED_VALUE"""),"AUD")</f>
        <v>AUD</v>
      </c>
      <c r="G136" s="8">
        <f ca="1">IFERROR(__xludf.DUMMYFUNCTION("""COMPUTED_VALUE"""),2539)</f>
        <v>2539</v>
      </c>
      <c r="H136" s="10">
        <f ca="1">IFERROR(__xludf.DUMMYFUNCTION("""COMPUTED_VALUE"""),30468)</f>
        <v>30468</v>
      </c>
    </row>
    <row r="137" spans="1:8">
      <c r="A137" s="8" t="str">
        <f ca="1">IFERROR(__xludf.DUMMYFUNCTION("""COMPUTED_VALUE"""),"AS-SVC-INT-MS-BASIC")</f>
        <v>AS-SVC-INT-MS-BASIC</v>
      </c>
      <c r="B137" s="8" t="str">
        <f ca="1">IFERROR(__xludf.DUMMYFUNCTION("""COMPUTED_VALUE"""),"Annual Plan AS-SVC-INT-MS-BASIC")</f>
        <v>Annual Plan AS-SVC-INT-MS-BASIC</v>
      </c>
      <c r="C137" s="9" t="str">
        <f ca="1">IFERROR(__xludf.DUMMYFUNCTION("""COMPUTED_VALUE"""),"Managed Services Intranet - Basic")</f>
        <v>Managed Services Intranet - Basic</v>
      </c>
      <c r="D137" s="8" t="str">
        <f ca="1">IFERROR(__xludf.DUMMYFUNCTION("""COMPUTED_VALUE"""),"Recurring")</f>
        <v>Recurring</v>
      </c>
      <c r="E137" s="9" t="str">
        <f ca="1">IFERROR(__xludf.DUMMYFUNCTION("""COMPUTED_VALUE"""),"Intranet Platform Managed Services - Ongoing Intranet support including project management, analytics reporting and advisory, new user support. Up to 12 hours per month")</f>
        <v>Intranet Platform Managed Services - Ongoing Intranet support including project management, analytics reporting and advisory, new user support. Up to 12 hours per month</v>
      </c>
      <c r="F137" s="8" t="str">
        <f ca="1">IFERROR(__xludf.DUMMYFUNCTION("""COMPUTED_VALUE"""),"AUD")</f>
        <v>AUD</v>
      </c>
      <c r="G137" s="8">
        <f ca="1">IFERROR(__xludf.DUMMYFUNCTION("""COMPUTED_VALUE"""),5078)</f>
        <v>5078</v>
      </c>
      <c r="H137" s="10">
        <f ca="1">IFERROR(__xludf.DUMMYFUNCTION("""COMPUTED_VALUE"""),60936)</f>
        <v>60936</v>
      </c>
    </row>
    <row r="138" spans="1:8">
      <c r="A138" s="8" t="str">
        <f ca="1">IFERROR(__xludf.DUMMYFUNCTION("""COMPUTED_VALUE"""),"AS-SVC-INT-MS-BRANDING")</f>
        <v>AS-SVC-INT-MS-BRANDING</v>
      </c>
      <c r="B138" s="8" t="str">
        <f ca="1">IFERROR(__xludf.DUMMYFUNCTION("""COMPUTED_VALUE"""),"AS-SVC-INT-MS-BRANDING")</f>
        <v>AS-SVC-INT-MS-BRANDING</v>
      </c>
      <c r="C138" s="9" t="str">
        <f ca="1">IFERROR(__xludf.DUMMYFUNCTION("""COMPUTED_VALUE"""),"Intranet Branding Managed Services")</f>
        <v>Intranet Branding Managed Services</v>
      </c>
      <c r="D138" s="8" t="str">
        <f ca="1">IFERROR(__xludf.DUMMYFUNCTION("""COMPUTED_VALUE"""),"Recurring")</f>
        <v>Recurring</v>
      </c>
      <c r="E138" s="9" t="str">
        <f ca="1">IFERROR(__xludf.DUMMYFUNCTION("""COMPUTED_VALUE"""),"Intranet Branding Services - Custom branding of Intranet local and global entities, set up and maintenance of the customizations. Includes 4 updates of branding packages a year.")</f>
        <v>Intranet Branding Services - Custom branding of Intranet local and global entities, set up and maintenance of the customizations. Includes 4 updates of branding packages a year.</v>
      </c>
      <c r="F138" s="8" t="str">
        <f ca="1">IFERROR(__xludf.DUMMYFUNCTION("""COMPUTED_VALUE"""),"AUD")</f>
        <v>AUD</v>
      </c>
      <c r="G138" s="8">
        <f ca="1">IFERROR(__xludf.DUMMYFUNCTION("""COMPUTED_VALUE"""),1862)</f>
        <v>1862</v>
      </c>
      <c r="H138" s="10">
        <f ca="1">IFERROR(__xludf.DUMMYFUNCTION("""COMPUTED_VALUE"""),22344)</f>
        <v>22344</v>
      </c>
    </row>
    <row r="139" spans="1:8">
      <c r="A139" s="8" t="str">
        <f ca="1">IFERROR(__xludf.DUMMYFUNCTION("""COMPUTED_VALUE"""),"AS-SVC-INT-MS-ELITE")</f>
        <v>AS-SVC-INT-MS-ELITE</v>
      </c>
      <c r="B139" s="8" t="str">
        <f ca="1">IFERROR(__xludf.DUMMYFUNCTION("""COMPUTED_VALUE"""),"Annual Plan AS-SVC-INT-MS-ELITE")</f>
        <v>Annual Plan AS-SVC-INT-MS-ELITE</v>
      </c>
      <c r="C139" s="9" t="str">
        <f ca="1">IFERROR(__xludf.DUMMYFUNCTION("""COMPUTED_VALUE"""),"Managed Services Intranet - Elite")</f>
        <v>Managed Services Intranet - Elite</v>
      </c>
      <c r="D139" s="8" t="str">
        <f ca="1">IFERROR(__xludf.DUMMYFUNCTION("""COMPUTED_VALUE"""),"Recurring")</f>
        <v>Recurring</v>
      </c>
      <c r="E139" s="9" t="str">
        <f ca="1">IFERROR(__xludf.DUMMYFUNCTION("""COMPUTED_VALUE"""),"Intranet Platform Managed Services - Ongoing Intranet support including project management, analytics reporting and advisory, new user support. 32+hours per month. Additional scoping may be required.")</f>
        <v>Intranet Platform Managed Services - Ongoing Intranet support including project management, analytics reporting and advisory, new user support. 32+hours per month. Additional scoping may be required.</v>
      </c>
      <c r="F139" s="8" t="str">
        <f ca="1">IFERROR(__xludf.DUMMYFUNCTION("""COMPUTED_VALUE"""),"AUD")</f>
        <v>AUD</v>
      </c>
      <c r="G139" s="8">
        <f ca="1">IFERROR(__xludf.DUMMYFUNCTION("""COMPUTED_VALUE"""),12694)</f>
        <v>12694</v>
      </c>
      <c r="H139" s="10">
        <f ca="1">IFERROR(__xludf.DUMMYFUNCTION("""COMPUTED_VALUE"""),152328)</f>
        <v>152328</v>
      </c>
    </row>
    <row r="140" spans="1:8">
      <c r="A140" s="8" t="str">
        <f ca="1">IFERROR(__xludf.DUMMYFUNCTION("""COMPUTED_VALUE"""),"AS-SVC-INT-MS-PREMIUM")</f>
        <v>AS-SVC-INT-MS-PREMIUM</v>
      </c>
      <c r="B140" s="8" t="str">
        <f ca="1">IFERROR(__xludf.DUMMYFUNCTION("""COMPUTED_VALUE"""),"Annual Plan AS-SVC-INT-MS-PREMIUM")</f>
        <v>Annual Plan AS-SVC-INT-MS-PREMIUM</v>
      </c>
      <c r="C140" s="9" t="str">
        <f ca="1">IFERROR(__xludf.DUMMYFUNCTION("""COMPUTED_VALUE"""),"Managed Services Intranet - Premium")</f>
        <v>Managed Services Intranet - Premium</v>
      </c>
      <c r="D140" s="8" t="str">
        <f ca="1">IFERROR(__xludf.DUMMYFUNCTION("""COMPUTED_VALUE"""),"Recurring")</f>
        <v>Recurring</v>
      </c>
      <c r="E140" s="9" t="str">
        <f ca="1">IFERROR(__xludf.DUMMYFUNCTION("""COMPUTED_VALUE"""),"Intranet Platform Managed Services - Ongoing Intranet support including project management, analytics reporting and advisory, new user support. Up to 24 hours per month")</f>
        <v>Intranet Platform Managed Services - Ongoing Intranet support including project management, analytics reporting and advisory, new user support. Up to 24 hours per month</v>
      </c>
      <c r="F140" s="8" t="str">
        <f ca="1">IFERROR(__xludf.DUMMYFUNCTION("""COMPUTED_VALUE"""),"AUD")</f>
        <v>AUD</v>
      </c>
      <c r="G140" s="8">
        <f ca="1">IFERROR(__xludf.DUMMYFUNCTION("""COMPUTED_VALUE"""),10155)</f>
        <v>10155</v>
      </c>
      <c r="H140" s="10">
        <f ca="1">IFERROR(__xludf.DUMMYFUNCTION("""COMPUTED_VALUE"""),121860)</f>
        <v>121860</v>
      </c>
    </row>
    <row r="141" spans="1:8">
      <c r="A141" s="8" t="str">
        <f ca="1">IFERROR(__xludf.DUMMYFUNCTION("""COMPUTED_VALUE"""),"AS-SVC-MAPS-FLU")</f>
        <v>AS-SVC-MAPS-FLU</v>
      </c>
      <c r="B141" s="8" t="str">
        <f ca="1">IFERROR(__xludf.DUMMYFUNCTION("""COMPUTED_VALUE"""),"AS-SVC-MAPS-FLU")</f>
        <v>AS-SVC-MAPS-FLU</v>
      </c>
      <c r="C141" s="9" t="str">
        <f ca="1">IFERROR(__xludf.DUMMYFUNCTION("""COMPUTED_VALUE"""),"Space Reservation Floor Update")</f>
        <v>Space Reservation Floor Update</v>
      </c>
      <c r="D141" s="8" t="str">
        <f ca="1">IFERROR(__xludf.DUMMYFUNCTION("""COMPUTED_VALUE"""),"One-Time")</f>
        <v>One-Time</v>
      </c>
      <c r="E141" s="9" t="str">
        <f ca="1">IFERROR(__xludf.DUMMYFUNCTION("""COMPUTED_VALUE"""),"Appspace Space Reservation Floor Update - Update of Appspace-created 2D mapped floor plan.")</f>
        <v>Appspace Space Reservation Floor Update - Update of Appspace-created 2D mapped floor plan.</v>
      </c>
      <c r="F141" s="8" t="str">
        <f ca="1">IFERROR(__xludf.DUMMYFUNCTION("""COMPUTED_VALUE"""),"AUD")</f>
        <v>AUD</v>
      </c>
      <c r="G141" s="8">
        <f ca="1">IFERROR(__xludf.DUMMYFUNCTION("""COMPUTED_VALUE"""),423)</f>
        <v>423</v>
      </c>
      <c r="H141" s="10">
        <f ca="1">IFERROR(__xludf.DUMMYFUNCTION("""COMPUTED_VALUE"""),423)</f>
        <v>423</v>
      </c>
    </row>
    <row r="142" spans="1:8">
      <c r="A142" s="8" t="str">
        <f ca="1">IFERROR(__xludf.DUMMYFUNCTION("""COMPUTED_VALUE"""),"AS-SVC-MS-ADVANCED")</f>
        <v>AS-SVC-MS-ADVANCED</v>
      </c>
      <c r="B142" s="8" t="str">
        <f ca="1">IFERROR(__xludf.DUMMYFUNCTION("""COMPUTED_VALUE"""),"Annual Plan AS-SVC-MS-ADVANCED")</f>
        <v>Annual Plan AS-SVC-MS-ADVANCED</v>
      </c>
      <c r="C142" s="9" t="str">
        <f ca="1">IFERROR(__xludf.DUMMYFUNCTION("""COMPUTED_VALUE"""),"Managed Services - Advanced")</f>
        <v>Managed Services - Advanced</v>
      </c>
      <c r="D142" s="8" t="str">
        <f ca="1">IFERROR(__xludf.DUMMYFUNCTION("""COMPUTED_VALUE"""),"Recurring")</f>
        <v>Recurring</v>
      </c>
      <c r="E142" s="9" t="str">
        <f ca="1">IFERROR(__xludf.DUMMYFUNCTION("""COMPUTED_VALUE"""),"Managed Services Advanced - Ongoing platform assistance, up to 12 hours per month")</f>
        <v>Managed Services Advanced - Ongoing platform assistance, up to 12 hours per month</v>
      </c>
      <c r="F142" s="8" t="str">
        <f ca="1">IFERROR(__xludf.DUMMYFUNCTION("""COMPUTED_VALUE"""),"AUD")</f>
        <v>AUD</v>
      </c>
      <c r="G142" s="8">
        <f ca="1">IFERROR(__xludf.DUMMYFUNCTION("""COMPUTED_VALUE"""),5078)</f>
        <v>5078</v>
      </c>
      <c r="H142" s="10">
        <f ca="1">IFERROR(__xludf.DUMMYFUNCTION("""COMPUTED_VALUE"""),60936)</f>
        <v>60936</v>
      </c>
    </row>
    <row r="143" spans="1:8">
      <c r="A143" s="8" t="str">
        <f ca="1">IFERROR(__xludf.DUMMYFUNCTION("""COMPUTED_VALUE"""),"AS-SVC-MS-BASIC")</f>
        <v>AS-SVC-MS-BASIC</v>
      </c>
      <c r="B143" s="8" t="str">
        <f ca="1">IFERROR(__xludf.DUMMYFUNCTION("""COMPUTED_VALUE"""),"Annual Plan AS-SVC-MS-BASIC")</f>
        <v>Annual Plan AS-SVC-MS-BASIC</v>
      </c>
      <c r="C143" s="9" t="str">
        <f ca="1">IFERROR(__xludf.DUMMYFUNCTION("""COMPUTED_VALUE"""),"Managed Services - Basic")</f>
        <v>Managed Services - Basic</v>
      </c>
      <c r="D143" s="8" t="str">
        <f ca="1">IFERROR(__xludf.DUMMYFUNCTION("""COMPUTED_VALUE"""),"Recurring")</f>
        <v>Recurring</v>
      </c>
      <c r="E143" s="9" t="str">
        <f ca="1">IFERROR(__xludf.DUMMYFUNCTION("""COMPUTED_VALUE"""),"Managed Services Basic - Ongoing platform assistance, up to 6 hours per month")</f>
        <v>Managed Services Basic - Ongoing platform assistance, up to 6 hours per month</v>
      </c>
      <c r="F143" s="8" t="str">
        <f ca="1">IFERROR(__xludf.DUMMYFUNCTION("""COMPUTED_VALUE"""),"AUD")</f>
        <v>AUD</v>
      </c>
      <c r="G143" s="8">
        <f ca="1">IFERROR(__xludf.DUMMYFUNCTION("""COMPUTED_VALUE"""),2539)</f>
        <v>2539</v>
      </c>
      <c r="H143" s="10">
        <f ca="1">IFERROR(__xludf.DUMMYFUNCTION("""COMPUTED_VALUE"""),30468)</f>
        <v>30468</v>
      </c>
    </row>
    <row r="144" spans="1:8">
      <c r="A144" s="8" t="str">
        <f ca="1">IFERROR(__xludf.DUMMYFUNCTION("""COMPUTED_VALUE"""),"AS-SVC-MS-PREMIUM")</f>
        <v>AS-SVC-MS-PREMIUM</v>
      </c>
      <c r="B144" s="8" t="str">
        <f ca="1">IFERROR(__xludf.DUMMYFUNCTION("""COMPUTED_VALUE"""),"Annual Plan AS-SVC-MS-PREMIUM")</f>
        <v>Annual Plan AS-SVC-MS-PREMIUM</v>
      </c>
      <c r="C144" s="9" t="str">
        <f ca="1">IFERROR(__xludf.DUMMYFUNCTION("""COMPUTED_VALUE"""),"Managed Services - Premium")</f>
        <v>Managed Services - Premium</v>
      </c>
      <c r="D144" s="8" t="str">
        <f ca="1">IFERROR(__xludf.DUMMYFUNCTION("""COMPUTED_VALUE"""),"Recurring")</f>
        <v>Recurring</v>
      </c>
      <c r="E144" s="9" t="str">
        <f ca="1">IFERROR(__xludf.DUMMYFUNCTION("""COMPUTED_VALUE"""),"Managed Services Premium - Ongoing platform assistance, up to 24 hours per month")</f>
        <v>Managed Services Premium - Ongoing platform assistance, up to 24 hours per month</v>
      </c>
      <c r="F144" s="8" t="str">
        <f ca="1">IFERROR(__xludf.DUMMYFUNCTION("""COMPUTED_VALUE"""),"AUD")</f>
        <v>AUD</v>
      </c>
      <c r="G144" s="8">
        <f ca="1">IFERROR(__xludf.DUMMYFUNCTION("""COMPUTED_VALUE"""),10155)</f>
        <v>10155</v>
      </c>
      <c r="H144" s="10">
        <f ca="1">IFERROR(__xludf.DUMMYFUNCTION("""COMPUTED_VALUE"""),121860)</f>
        <v>121860</v>
      </c>
    </row>
    <row r="145" spans="1:8">
      <c r="A145" s="8" t="str">
        <f ca="1">IFERROR(__xludf.DUMMYFUNCTION("""COMPUTED_VALUE"""),"AS-SVC-OP-CM")</f>
        <v>AS-SVC-OP-CM</v>
      </c>
      <c r="B145" s="8" t="str">
        <f ca="1">IFERROR(__xludf.DUMMYFUNCTION("""COMPUTED_VALUE"""),"AS-SVC-OP-CM - Large")</f>
        <v>AS-SVC-OP-CM - Large</v>
      </c>
      <c r="C145" s="9" t="str">
        <f ca="1">IFERROR(__xludf.DUMMYFUNCTION("""COMPUTED_VALUE"""),"On-Prem to Cloud Migration - Large")</f>
        <v>On-Prem to Cloud Migration - Large</v>
      </c>
      <c r="D145" s="8" t="str">
        <f ca="1">IFERROR(__xludf.DUMMYFUNCTION("""COMPUTED_VALUE"""),"One-Time")</f>
        <v>One-Time</v>
      </c>
      <c r="E145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5" s="8" t="str">
        <f ca="1">IFERROR(__xludf.DUMMYFUNCTION("""COMPUTED_VALUE"""),"AUD")</f>
        <v>AUD</v>
      </c>
      <c r="G145" s="8">
        <f ca="1">IFERROR(__xludf.DUMMYFUNCTION("""COMPUTED_VALUE"""),33851)</f>
        <v>33851</v>
      </c>
      <c r="H145" s="10">
        <f ca="1">IFERROR(__xludf.DUMMYFUNCTION("""COMPUTED_VALUE"""),33851)</f>
        <v>33851</v>
      </c>
    </row>
    <row r="146" spans="1:8">
      <c r="A146" s="8" t="str">
        <f ca="1">IFERROR(__xludf.DUMMYFUNCTION("""COMPUTED_VALUE"""),"AS-SVC-OP-CM")</f>
        <v>AS-SVC-OP-CM</v>
      </c>
      <c r="B146" s="8" t="str">
        <f ca="1">IFERROR(__xludf.DUMMYFUNCTION("""COMPUTED_VALUE"""),"AS-SVC-OP-CM - Medium")</f>
        <v>AS-SVC-OP-CM - Medium</v>
      </c>
      <c r="C146" s="9" t="str">
        <f ca="1">IFERROR(__xludf.DUMMYFUNCTION("""COMPUTED_VALUE"""),"On-Prem to Cloud Migration - Medium")</f>
        <v>On-Prem to Cloud Migration - Medium</v>
      </c>
      <c r="D146" s="8" t="str">
        <f ca="1">IFERROR(__xludf.DUMMYFUNCTION("""COMPUTED_VALUE"""),"One-Time")</f>
        <v>One-Time</v>
      </c>
      <c r="E146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6" s="8" t="str">
        <f ca="1">IFERROR(__xludf.DUMMYFUNCTION("""COMPUTED_VALUE"""),"AUD")</f>
        <v>AUD</v>
      </c>
      <c r="G146" s="8">
        <f ca="1">IFERROR(__xludf.DUMMYFUNCTION("""COMPUTED_VALUE"""),16925)</f>
        <v>16925</v>
      </c>
      <c r="H146" s="10">
        <f ca="1">IFERROR(__xludf.DUMMYFUNCTION("""COMPUTED_VALUE"""),16925)</f>
        <v>16925</v>
      </c>
    </row>
    <row r="147" spans="1:8">
      <c r="A147" s="8" t="str">
        <f ca="1">IFERROR(__xludf.DUMMYFUNCTION("""COMPUTED_VALUE"""),"AS-SVC-OP-CM")</f>
        <v>AS-SVC-OP-CM</v>
      </c>
      <c r="B147" s="8" t="str">
        <f ca="1">IFERROR(__xludf.DUMMYFUNCTION("""COMPUTED_VALUE"""),"AS-SVC-OP-CM - Small")</f>
        <v>AS-SVC-OP-CM - Small</v>
      </c>
      <c r="C147" s="9" t="str">
        <f ca="1">IFERROR(__xludf.DUMMYFUNCTION("""COMPUTED_VALUE"""),"On-Prem to Cloud Migration - Small")</f>
        <v>On-Prem to Cloud Migration - Small</v>
      </c>
      <c r="D147" s="8" t="str">
        <f ca="1">IFERROR(__xludf.DUMMYFUNCTION("""COMPUTED_VALUE"""),"One-Time")</f>
        <v>One-Time</v>
      </c>
      <c r="E147" s="9" t="str">
        <f ca="1">IFERROR(__xludf.DUMMYFUNCTION("""COMPUTED_VALUE"""),"Appspace On-Prem to Private or Public Cloud Migration - Includes Dedicated Migration Specialist, customized migration plan, upgrade to latest software release, device registration instruction, and content migration &amp; refresh.")</f>
        <v>Appspace On-Prem to Private or Public Cloud Migration - Includes Dedicated Migration Specialist, customized migration plan, upgrade to latest software release, device registration instruction, and content migration &amp; refresh.</v>
      </c>
      <c r="F147" s="8" t="str">
        <f ca="1">IFERROR(__xludf.DUMMYFUNCTION("""COMPUTED_VALUE"""),"AUD")</f>
        <v>AUD</v>
      </c>
      <c r="G147" s="8">
        <f ca="1">IFERROR(__xludf.DUMMYFUNCTION("""COMPUTED_VALUE"""),8463)</f>
        <v>8463</v>
      </c>
      <c r="H147" s="10">
        <f ca="1">IFERROR(__xludf.DUMMYFUNCTION("""COMPUTED_VALUE"""),8463)</f>
        <v>8463</v>
      </c>
    </row>
    <row r="148" spans="1:8">
      <c r="A148" s="8" t="str">
        <f ca="1">IFERROR(__xludf.DUMMYFUNCTION("""COMPUTED_VALUE"""),"AS-SVC-OP-UPG")</f>
        <v>AS-SVC-OP-UPG</v>
      </c>
      <c r="B148" s="8" t="str">
        <f ca="1">IFERROR(__xludf.DUMMYFUNCTION("""COMPUTED_VALUE"""),"AS-SVC-OP-UPG - Small")</f>
        <v>AS-SVC-OP-UPG - Small</v>
      </c>
      <c r="C148" s="9" t="str">
        <f ca="1">IFERROR(__xludf.DUMMYFUNCTION("""COMPUTED_VALUE"""),"On-Prem Upgrade Services - Small")</f>
        <v>On-Prem Upgrade Services - Small</v>
      </c>
      <c r="D148" s="8" t="str">
        <f ca="1">IFERROR(__xludf.DUMMYFUNCTION("""COMPUTED_VALUE"""),"One-Time")</f>
        <v>One-Time</v>
      </c>
      <c r="E148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8" s="8" t="str">
        <f ca="1">IFERROR(__xludf.DUMMYFUNCTION("""COMPUTED_VALUE"""),"AUD")</f>
        <v>AUD</v>
      </c>
      <c r="G148" s="8">
        <f ca="1">IFERROR(__xludf.DUMMYFUNCTION("""COMPUTED_VALUE"""),8463)</f>
        <v>8463</v>
      </c>
      <c r="H148" s="10">
        <f ca="1">IFERROR(__xludf.DUMMYFUNCTION("""COMPUTED_VALUE"""),8463)</f>
        <v>8463</v>
      </c>
    </row>
    <row r="149" spans="1:8">
      <c r="A149" s="8" t="str">
        <f ca="1">IFERROR(__xludf.DUMMYFUNCTION("""COMPUTED_VALUE"""),"AS-SVC-OP-UPG")</f>
        <v>AS-SVC-OP-UPG</v>
      </c>
      <c r="B149" s="8" t="str">
        <f ca="1">IFERROR(__xludf.DUMMYFUNCTION("""COMPUTED_VALUE"""),"AS-SVC-OP-UPG - Large")</f>
        <v>AS-SVC-OP-UPG - Large</v>
      </c>
      <c r="C149" s="9" t="str">
        <f ca="1">IFERROR(__xludf.DUMMYFUNCTION("""COMPUTED_VALUE"""),"On-Prem Upgrade Services - Large")</f>
        <v>On-Prem Upgrade Services - Large</v>
      </c>
      <c r="D149" s="8" t="str">
        <f ca="1">IFERROR(__xludf.DUMMYFUNCTION("""COMPUTED_VALUE"""),"One-Time")</f>
        <v>One-Time</v>
      </c>
      <c r="E149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49" s="8" t="str">
        <f ca="1">IFERROR(__xludf.DUMMYFUNCTION("""COMPUTED_VALUE"""),"AUD")</f>
        <v>AUD</v>
      </c>
      <c r="G149" s="8">
        <f ca="1">IFERROR(__xludf.DUMMYFUNCTION("""COMPUTED_VALUE"""),33851)</f>
        <v>33851</v>
      </c>
      <c r="H149" s="10">
        <f ca="1">IFERROR(__xludf.DUMMYFUNCTION("""COMPUTED_VALUE"""),33851)</f>
        <v>33851</v>
      </c>
    </row>
    <row r="150" spans="1:8">
      <c r="A150" s="8" t="str">
        <f ca="1">IFERROR(__xludf.DUMMYFUNCTION("""COMPUTED_VALUE"""),"AS-SVC-OP-UPG")</f>
        <v>AS-SVC-OP-UPG</v>
      </c>
      <c r="B150" s="8" t="str">
        <f ca="1">IFERROR(__xludf.DUMMYFUNCTION("""COMPUTED_VALUE"""),"AS-SVC-OP-UPG - Medium")</f>
        <v>AS-SVC-OP-UPG - Medium</v>
      </c>
      <c r="C150" s="9" t="str">
        <f ca="1">IFERROR(__xludf.DUMMYFUNCTION("""COMPUTED_VALUE"""),"On-Prem Upgrade Services - Medium")</f>
        <v>On-Prem Upgrade Services - Medium</v>
      </c>
      <c r="D150" s="8" t="str">
        <f ca="1">IFERROR(__xludf.DUMMYFUNCTION("""COMPUTED_VALUE"""),"One-Time")</f>
        <v>One-Time</v>
      </c>
      <c r="E150" s="9" t="str">
        <f ca="1">IFERROR(__xludf.DUMMYFUNCTION("""COMPUTED_VALUE"""),"Appspace On-Prem Upgrade. Upgrade to the latest on-premise software release. In-depth upgrade assessment, customized upgrade plan, designated Upgrade Specialist, and device registration and migration instruction.")</f>
        <v>Appspace On-Prem Upgrade. Upgrade to the latest on-premise software release. In-depth upgrade assessment, customized upgrade plan, designated Upgrade Specialist, and device registration and migration instruction.</v>
      </c>
      <c r="F150" s="8" t="str">
        <f ca="1">IFERROR(__xludf.DUMMYFUNCTION("""COMPUTED_VALUE"""),"AUD")</f>
        <v>AUD</v>
      </c>
      <c r="G150" s="8">
        <f ca="1">IFERROR(__xludf.DUMMYFUNCTION("""COMPUTED_VALUE"""),16925)</f>
        <v>16925</v>
      </c>
      <c r="H150" s="10">
        <f ca="1">IFERROR(__xludf.DUMMYFUNCTION("""COMPUTED_VALUE"""),16925)</f>
        <v>16925</v>
      </c>
    </row>
    <row r="151" spans="1:8">
      <c r="A151" s="8" t="str">
        <f ca="1">IFERROR(__xludf.DUMMYFUNCTION("""COMPUTED_VALUE"""),"AS-SVC-POC")</f>
        <v>AS-SVC-POC</v>
      </c>
      <c r="B151" s="8" t="str">
        <f ca="1">IFERROR(__xludf.DUMMYFUNCTION("""COMPUTED_VALUE"""),"AS-SVC-POC Workplace Comms")</f>
        <v>AS-SVC-POC Workplace Comms</v>
      </c>
      <c r="C151" s="9" t="str">
        <f ca="1">IFERROR(__xludf.DUMMYFUNCTION("""COMPUTED_VALUE"""),"Proof of Concept Workplace Comms")</f>
        <v>Proof of Concept Workplace Comms</v>
      </c>
      <c r="D151" s="8" t="str">
        <f ca="1">IFERROR(__xludf.DUMMYFUNCTION("""COMPUTED_VALUE"""),"One-Time")</f>
        <v>One-Time</v>
      </c>
      <c r="E151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1" s="8" t="str">
        <f ca="1">IFERROR(__xludf.DUMMYFUNCTION("""COMPUTED_VALUE"""),"AUD")</f>
        <v>AUD</v>
      </c>
      <c r="G151" s="8">
        <f ca="1">IFERROR(__xludf.DUMMYFUNCTION("""COMPUTED_VALUE"""),4231)</f>
        <v>4231</v>
      </c>
      <c r="H151" s="10">
        <f ca="1">IFERROR(__xludf.DUMMYFUNCTION("""COMPUTED_VALUE"""),4231)</f>
        <v>4231</v>
      </c>
    </row>
    <row r="152" spans="1:8">
      <c r="A152" s="8" t="str">
        <f ca="1">IFERROR(__xludf.DUMMYFUNCTION("""COMPUTED_VALUE"""),"AS-SVC-POC")</f>
        <v>AS-SVC-POC</v>
      </c>
      <c r="B152" s="8" t="str">
        <f ca="1">IFERROR(__xludf.DUMMYFUNCTION("""COMPUTED_VALUE"""),"AS-SVC-POC Space Management")</f>
        <v>AS-SVC-POC Space Management</v>
      </c>
      <c r="C152" s="9" t="str">
        <f ca="1">IFERROR(__xludf.DUMMYFUNCTION("""COMPUTED_VALUE"""),"Proof of Concept Space Management")</f>
        <v>Proof of Concept Space Management</v>
      </c>
      <c r="D152" s="8" t="str">
        <f ca="1">IFERROR(__xludf.DUMMYFUNCTION("""COMPUTED_VALUE"""),"One-Time")</f>
        <v>One-Time</v>
      </c>
      <c r="E152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2" s="8" t="str">
        <f ca="1">IFERROR(__xludf.DUMMYFUNCTION("""COMPUTED_VALUE"""),"AUD")</f>
        <v>AUD</v>
      </c>
      <c r="G152" s="8">
        <f ca="1">IFERROR(__xludf.DUMMYFUNCTION("""COMPUTED_VALUE"""),4231)</f>
        <v>4231</v>
      </c>
      <c r="H152" s="10">
        <f ca="1">IFERROR(__xludf.DUMMYFUNCTION("""COMPUTED_VALUE"""),4231)</f>
        <v>4231</v>
      </c>
    </row>
    <row r="153" spans="1:8">
      <c r="A153" s="8" t="str">
        <f ca="1">IFERROR(__xludf.DUMMYFUNCTION("""COMPUTED_VALUE"""),"AS-SVC-POC")</f>
        <v>AS-SVC-POC</v>
      </c>
      <c r="B153" s="8" t="str">
        <f ca="1">IFERROR(__xludf.DUMMYFUNCTION("""COMPUTED_VALUE"""),"AS-SVC-POC Employee App")</f>
        <v>AS-SVC-POC Employee App</v>
      </c>
      <c r="C153" s="9" t="str">
        <f ca="1">IFERROR(__xludf.DUMMYFUNCTION("""COMPUTED_VALUE"""),"Proof of Concept Employee App")</f>
        <v>Proof of Concept Employee App</v>
      </c>
      <c r="D153" s="8" t="str">
        <f ca="1">IFERROR(__xludf.DUMMYFUNCTION("""COMPUTED_VALUE"""),"One-Time")</f>
        <v>One-Time</v>
      </c>
      <c r="E153" s="9" t="str">
        <f ca="1">IFERROR(__xludf.DUMMYFUNCTION("""COMPUTED_VALUE"""),"Appspace Proof of Concept - Implementation and configuration services to create a POC trial.")</f>
        <v>Appspace Proof of Concept - Implementation and configuration services to create a POC trial.</v>
      </c>
      <c r="F153" s="8" t="str">
        <f ca="1">IFERROR(__xludf.DUMMYFUNCTION("""COMPUTED_VALUE"""),"AUD")</f>
        <v>AUD</v>
      </c>
      <c r="G153" s="8">
        <f ca="1">IFERROR(__xludf.DUMMYFUNCTION("""COMPUTED_VALUE"""),4231)</f>
        <v>4231</v>
      </c>
      <c r="H153" s="10">
        <f ca="1">IFERROR(__xludf.DUMMYFUNCTION("""COMPUTED_VALUE"""),4231)</f>
        <v>4231</v>
      </c>
    </row>
    <row r="154" spans="1:8">
      <c r="A154" s="8" t="str">
        <f ca="1">IFERROR(__xludf.DUMMYFUNCTION("""COMPUTED_VALUE"""),"AS-SVC-RBC-QST")</f>
        <v>AS-SVC-RBC-QST</v>
      </c>
      <c r="B154" s="8" t="str">
        <f ca="1">IFERROR(__xludf.DUMMYFUNCTION("""COMPUTED_VALUE"""),"AS-SVC-RBC-QST")</f>
        <v>AS-SVC-RBC-QST</v>
      </c>
      <c r="C154" s="9" t="str">
        <f ca="1">IFERROR(__xludf.DUMMYFUNCTION("""COMPUTED_VALUE"""),"Room Booking Card Quick Start")</f>
        <v>Room Booking Card Quick Start</v>
      </c>
      <c r="D154" s="8" t="str">
        <f ca="1">IFERROR(__xludf.DUMMYFUNCTION("""COMPUTED_VALUE"""),"One-Time")</f>
        <v>One-Time</v>
      </c>
      <c r="E154" s="9" t="str">
        <f ca="1">IFERROR(__xludf.DUMMYFUNCTION("""COMPUTED_VALUE"""),"Room Booking Card Quick Start - Room Booking Card Setup. Workshop, configuration for up to 20 rooms, customized instruction and documentation, post-setup review and consultation")</f>
        <v>Room Booking Card Quick Start - Room Booking Card Setup. Workshop, configuration for up to 20 rooms, customized instruction and documentation, post-setup review and consultation</v>
      </c>
      <c r="F154" s="8" t="str">
        <f ca="1">IFERROR(__xludf.DUMMYFUNCTION("""COMPUTED_VALUE"""),"AUD")</f>
        <v>AUD</v>
      </c>
      <c r="G154" s="8">
        <f ca="1">IFERROR(__xludf.DUMMYFUNCTION("""COMPUTED_VALUE"""),8463)</f>
        <v>8463</v>
      </c>
      <c r="H154" s="10">
        <f ca="1">IFERROR(__xludf.DUMMYFUNCTION("""COMPUTED_VALUE"""),8463)</f>
        <v>8463</v>
      </c>
    </row>
    <row r="155" spans="1:8">
      <c r="A155" s="8" t="str">
        <f ca="1">IFERROR(__xludf.DUMMYFUNCTION("""COMPUTED_VALUE"""),"AS-SVC-SUPPORT-24-7")</f>
        <v>AS-SVC-SUPPORT-24-7</v>
      </c>
      <c r="B155" s="8" t="str">
        <f ca="1">IFERROR(__xludf.DUMMYFUNCTION("""COMPUTED_VALUE"""),"Annual Plan AS-SVC-SUPPORT-24-7")</f>
        <v>Annual Plan AS-SVC-SUPPORT-24-7</v>
      </c>
      <c r="C155" s="9" t="str">
        <f ca="1">IFERROR(__xludf.DUMMYFUNCTION("""COMPUTED_VALUE"""),"Support Add-on - 24-7")</f>
        <v>Support Add-on - 24-7</v>
      </c>
      <c r="D155" s="8" t="str">
        <f ca="1">IFERROR(__xludf.DUMMYFUNCTION("""COMPUTED_VALUE"""),"Recurring")</f>
        <v>Recurring</v>
      </c>
      <c r="E155" s="9" t="str">
        <f ca="1">IFERROR(__xludf.DUMMYFUNCTION("""COMPUTED_VALUE"""),"Appspace Support Add-on - 24-7. Provides round-the-clock Appspace Customer Care support: 1-hour SLA, 7 days a week, 24 hours per day, unlimited tickets per month, and 20 ticket administrators.")</f>
        <v>Appspace Support Add-on - 24-7. Provides round-the-clock Appspace Customer Care support: 1-hour SLA, 7 days a week, 24 hours per day, unlimited tickets per month, and 20 ticket administrators.</v>
      </c>
      <c r="F155" s="8" t="str">
        <f ca="1">IFERROR(__xludf.DUMMYFUNCTION("""COMPUTED_VALUE"""),"AUD")</f>
        <v>AUD</v>
      </c>
      <c r="G155" s="8">
        <f ca="1">IFERROR(__xludf.DUMMYFUNCTION("""COMPUTED_VALUE"""),5078)</f>
        <v>5078</v>
      </c>
      <c r="H155" s="10">
        <f ca="1">IFERROR(__xludf.DUMMYFUNCTION("""COMPUTED_VALUE"""),60936)</f>
        <v>60936</v>
      </c>
    </row>
    <row r="156" spans="1:8">
      <c r="A156" s="8" t="str">
        <f ca="1">IFERROR(__xludf.DUMMYFUNCTION("""COMPUTED_VALUE"""),"AS-SVC-SUPPORT-ELITE")</f>
        <v>AS-SVC-SUPPORT-ELITE</v>
      </c>
      <c r="B156" s="8" t="str">
        <f ca="1">IFERROR(__xludf.DUMMYFUNCTION("""COMPUTED_VALUE"""),"Annual Plan AS-SVC-SUPPORT-ELITE")</f>
        <v>Annual Plan AS-SVC-SUPPORT-ELITE</v>
      </c>
      <c r="C156" s="9" t="str">
        <f ca="1">IFERROR(__xludf.DUMMYFUNCTION("""COMPUTED_VALUE"""),"Support Add-on - Elite")</f>
        <v>Support Add-on - Elite</v>
      </c>
      <c r="D156" s="8" t="str">
        <f ca="1">IFERROR(__xludf.DUMMYFUNCTION("""COMPUTED_VALUE"""),"Recurring")</f>
        <v>Recurring</v>
      </c>
      <c r="E156" s="9" t="str">
        <f ca="1">IFERROR(__xludf.DUMMYFUNCTION("""COMPUTED_VALUE"""),"Appspace Support Add-on - Elite. Provides access to Elite-level Appspace Customer Care support.")</f>
        <v>Appspace Support Add-on - Elite. Provides access to Elite-level Appspace Customer Care support.</v>
      </c>
      <c r="F156" s="8" t="str">
        <f ca="1">IFERROR(__xludf.DUMMYFUNCTION("""COMPUTED_VALUE"""),"AUD")</f>
        <v>AUD</v>
      </c>
      <c r="G156" s="8">
        <f ca="1">IFERROR(__xludf.DUMMYFUNCTION("""COMPUTED_VALUE"""),1693)</f>
        <v>1693</v>
      </c>
      <c r="H156" s="10">
        <f ca="1">IFERROR(__xludf.DUMMYFUNCTION("""COMPUTED_VALUE"""),20316)</f>
        <v>20316</v>
      </c>
    </row>
    <row r="157" spans="1:8">
      <c r="A157" s="8" t="str">
        <f ca="1">IFERROR(__xludf.DUMMYFUNCTION("""COMPUTED_VALUE"""),"AS-SVC-SUPPORT-SAM")</f>
        <v>AS-SVC-SUPPORT-SAM</v>
      </c>
      <c r="B157" s="8" t="str">
        <f ca="1">IFERROR(__xludf.DUMMYFUNCTION("""COMPUTED_VALUE"""),"Annual Plan AS-SVC-SUPPORT-SAM")</f>
        <v>Annual Plan AS-SVC-SUPPORT-SAM</v>
      </c>
      <c r="C157" s="9" t="str">
        <f ca="1">IFERROR(__xludf.DUMMYFUNCTION("""COMPUTED_VALUE"""),"Support Account Manager")</f>
        <v>Support Account Manager</v>
      </c>
      <c r="D157" s="8" t="str">
        <f ca="1">IFERROR(__xludf.DUMMYFUNCTION("""COMPUTED_VALUE"""),"Recurring")</f>
        <v>Recurring</v>
      </c>
      <c r="E157" s="9" t="str">
        <f ca="1">IFERROR(__xludf.DUMMYFUNCTION("""COMPUTED_VALUE"""),"Appspace Support Account Manager Add-on. Provides access to a designated Support Account Manager who understands your Appspace deployment and manages your support workflow")</f>
        <v>Appspace Support Account Manager Add-on. Provides access to a designated Support Account Manager who understands your Appspace deployment and manages your support workflow</v>
      </c>
      <c r="F157" s="8" t="str">
        <f ca="1">IFERROR(__xludf.DUMMYFUNCTION("""COMPUTED_VALUE"""),"AUD")</f>
        <v>AUD</v>
      </c>
      <c r="G157" s="8">
        <f ca="1">IFERROR(__xludf.DUMMYFUNCTION("""COMPUTED_VALUE"""),6770)</f>
        <v>6770</v>
      </c>
      <c r="H157" s="10">
        <f ca="1">IFERROR(__xludf.DUMMYFUNCTION("""COMPUTED_VALUE"""),81240)</f>
        <v>81240</v>
      </c>
    </row>
    <row r="158" spans="1:8">
      <c r="A158" s="8" t="str">
        <f ca="1">IFERROR(__xludf.DUMMYFUNCTION("""COMPUTED_VALUE"""),"AS-SVC-SUPPORT-STR")</f>
        <v>AS-SVC-SUPPORT-STR</v>
      </c>
      <c r="B158" s="8" t="str">
        <f ca="1">IFERROR(__xludf.DUMMYFUNCTION("""COMPUTED_VALUE"""),"Annual Plan AS-SVC-SUPPORT-STR")</f>
        <v>Annual Plan AS-SVC-SUPPORT-STR</v>
      </c>
      <c r="C158" s="9" t="str">
        <f ca="1">IFERROR(__xludf.DUMMYFUNCTION("""COMPUTED_VALUE"""),"Support Add-on - Strategic")</f>
        <v>Support Add-on - Strategic</v>
      </c>
      <c r="D158" s="8" t="str">
        <f ca="1">IFERROR(__xludf.DUMMYFUNCTION("""COMPUTED_VALUE"""),"Recurring")</f>
        <v>Recurring</v>
      </c>
      <c r="E158" s="9" t="str">
        <f ca="1">IFERROR(__xludf.DUMMYFUNCTION("""COMPUTED_VALUE"""),"Appspace Support Add-on - Strategic. 24-7 Appspace Customer Care support, 1-hour SLA, unlimited tickets, 20 ticket administrators, executive-level sponsorship, dedicated 6-person support team, prioritized ticket handling, and monthly ticket analytics.")</f>
        <v>Appspace Support Add-on - Strategic. 24-7 Appspace Customer Care support, 1-hour SLA, unlimited tickets, 20 ticket administrators, executive-level sponsorship, dedicated 6-person support team, prioritized ticket handling, and monthly ticket analytics.</v>
      </c>
      <c r="F158" s="8" t="str">
        <f ca="1">IFERROR(__xludf.DUMMYFUNCTION("""COMPUTED_VALUE"""),"AUD")</f>
        <v>AUD</v>
      </c>
      <c r="G158" s="8">
        <f ca="1">IFERROR(__xludf.DUMMYFUNCTION("""COMPUTED_VALUE"""),16925)</f>
        <v>16925</v>
      </c>
      <c r="H158" s="10">
        <f ca="1">IFERROR(__xludf.DUMMYFUNCTION("""COMPUTED_VALUE"""),203100)</f>
        <v>203100</v>
      </c>
    </row>
    <row r="159" spans="1:8">
      <c r="A159" s="8" t="str">
        <f ca="1">IFERROR(__xludf.DUMMYFUNCTION("""COMPUTED_VALUE"""),"AS-SVC-TRAINING-ACC")</f>
        <v>AS-SVC-TRAINING-ACC</v>
      </c>
      <c r="B159" s="8" t="str">
        <f ca="1">IFERROR(__xludf.DUMMYFUNCTION("""COMPUTED_VALUE"""),"Annual Plan AS-SVC-TRAINING-ACC")</f>
        <v>Annual Plan AS-SVC-TRAINING-ACC</v>
      </c>
      <c r="C159" s="9" t="str">
        <f ca="1">IFERROR(__xludf.DUMMYFUNCTION("""COMPUTED_VALUE"""),"All-Access Training")</f>
        <v>All-Access Training</v>
      </c>
      <c r="D159" s="8" t="str">
        <f ca="1">IFERROR(__xludf.DUMMYFUNCTION("""COMPUTED_VALUE"""),"Recurring")</f>
        <v>Recurring</v>
      </c>
      <c r="E159" s="9" t="str">
        <f ca="1">IFERROR(__xludf.DUMMYFUNCTION("""COMPUTED_VALUE"""),"Twelve month, unlimited monthly access to Appspace Basic &amp; Premium trainings and workshops.")</f>
        <v>Twelve month, unlimited monthly access to Appspace Basic &amp; Premium trainings and workshops.</v>
      </c>
      <c r="F159" s="8" t="str">
        <f ca="1">IFERROR(__xludf.DUMMYFUNCTION("""COMPUTED_VALUE"""),"AUD")</f>
        <v>AUD</v>
      </c>
      <c r="G159" s="8">
        <f ca="1">IFERROR(__xludf.DUMMYFUNCTION("""COMPUTED_VALUE"""),3385)</f>
        <v>3385</v>
      </c>
      <c r="H159" s="10">
        <f ca="1">IFERROR(__xludf.DUMMYFUNCTION("""COMPUTED_VALUE"""),40620)</f>
        <v>40620</v>
      </c>
    </row>
    <row r="160" spans="1:8">
      <c r="A160" s="8" t="str">
        <f ca="1">IFERROR(__xludf.DUMMYFUNCTION("""COMPUTED_VALUE"""),"AS-SVC-TRAINING-BASIC")</f>
        <v>AS-SVC-TRAINING-BASIC</v>
      </c>
      <c r="B160" s="8" t="str">
        <f ca="1">IFERROR(__xludf.DUMMYFUNCTION("""COMPUTED_VALUE"""),"AS-SVC-TRAINING-BASIC-LEGACY")</f>
        <v>AS-SVC-TRAINING-BASIC-LEGACY</v>
      </c>
      <c r="C160" s="9" t="str">
        <f ca="1">IFERROR(__xludf.DUMMYFUNCTION("""COMPUTED_VALUE"""),"Platform Training Basic")</f>
        <v>Platform Training Basic</v>
      </c>
      <c r="D160" s="8" t="str">
        <f ca="1">IFERROR(__xludf.DUMMYFUNCTION("""COMPUTED_VALUE"""),"One-Time")</f>
        <v>One-Time</v>
      </c>
      <c r="E160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0" s="8" t="str">
        <f ca="1">IFERROR(__xludf.DUMMYFUNCTION("""COMPUTED_VALUE"""),"AUD")</f>
        <v>AUD</v>
      </c>
      <c r="G160" s="8">
        <f ca="1">IFERROR(__xludf.DUMMYFUNCTION("""COMPUTED_VALUE"""),846)</f>
        <v>846</v>
      </c>
      <c r="H160" s="8">
        <f ca="1">IFERROR(__xludf.DUMMYFUNCTION("""COMPUTED_VALUE"""),846)</f>
        <v>846</v>
      </c>
    </row>
    <row r="161" spans="1:8">
      <c r="A161" s="8" t="str">
        <f ca="1">IFERROR(__xludf.DUMMYFUNCTION("""COMPUTED_VALUE"""),"AS-SVC-TRAINING-BASIC")</f>
        <v>AS-SVC-TRAINING-BASIC</v>
      </c>
      <c r="B161" s="8" t="str">
        <f ca="1">IFERROR(__xludf.DUMMYFUNCTION("""COMPUTED_VALUE"""),"AS-SVC-TRAINING-BASIC")</f>
        <v>AS-SVC-TRAINING-BASIC</v>
      </c>
      <c r="C161" s="9" t="str">
        <f ca="1">IFERROR(__xludf.DUMMYFUNCTION("""COMPUTED_VALUE"""),"Platform Training Basic")</f>
        <v>Platform Training Basic</v>
      </c>
      <c r="D161" s="8" t="str">
        <f ca="1">IFERROR(__xludf.DUMMYFUNCTION("""COMPUTED_VALUE"""),"One-Time")</f>
        <v>One-Time</v>
      </c>
      <c r="E161" s="9" t="str">
        <f ca="1">IFERROR(__xludf.DUMMYFUNCTION("""COMPUTED_VALUE"""),"Appspace Platform Training - Basic. 60-minute instructor-led training focusing on specific platform functionality.")</f>
        <v>Appspace Platform Training - Basic. 60-minute instructor-led training focusing on specific platform functionality.</v>
      </c>
      <c r="F161" s="8" t="str">
        <f ca="1">IFERROR(__xludf.DUMMYFUNCTION("""COMPUTED_VALUE"""),"AUD")</f>
        <v>AUD</v>
      </c>
      <c r="G161" s="8">
        <f ca="1">IFERROR(__xludf.DUMMYFUNCTION("""COMPUTED_VALUE"""),846)</f>
        <v>846</v>
      </c>
      <c r="H161" s="10">
        <f ca="1">IFERROR(__xludf.DUMMYFUNCTION("""COMPUTED_VALUE"""),846)</f>
        <v>846</v>
      </c>
    </row>
    <row r="162" spans="1:8">
      <c r="A162" s="8" t="str">
        <f ca="1">IFERROR(__xludf.DUMMYFUNCTION("""COMPUTED_VALUE"""),"AS-SVC-TRAINING-PREMIUM")</f>
        <v>AS-SVC-TRAINING-PREMIUM</v>
      </c>
      <c r="B162" s="8" t="str">
        <f ca="1">IFERROR(__xludf.DUMMYFUNCTION("""COMPUTED_VALUE"""),"AS-SVC-TRAINING-PREMIUM")</f>
        <v>AS-SVC-TRAINING-PREMIUM</v>
      </c>
      <c r="C162" s="9" t="str">
        <f ca="1">IFERROR(__xludf.DUMMYFUNCTION("""COMPUTED_VALUE"""),"Platform Training Premium")</f>
        <v>Platform Training Premium</v>
      </c>
      <c r="D162" s="8" t="str">
        <f ca="1">IFERROR(__xludf.DUMMYFUNCTION("""COMPUTED_VALUE"""),"One-Time")</f>
        <v>One-Time</v>
      </c>
      <c r="E162" s="9" t="str">
        <f ca="1">IFERROR(__xludf.DUMMYFUNCTION("""COMPUTED_VALUE"""),"Appspace Platform Training - Premium. Half-day workshop with Appspace Subject Matter Experts, offering hands-on experience through labs and interactive exercises.")</f>
        <v>Appspace Platform Training - Premium. Half-day workshop with Appspace Subject Matter Experts, offering hands-on experience through labs and interactive exercises.</v>
      </c>
      <c r="F162" s="8" t="str">
        <f ca="1">IFERROR(__xludf.DUMMYFUNCTION("""COMPUTED_VALUE"""),"AUD")</f>
        <v>AUD</v>
      </c>
      <c r="G162" s="8">
        <f ca="1">IFERROR(__xludf.DUMMYFUNCTION("""COMPUTED_VALUE"""),4231)</f>
        <v>4231</v>
      </c>
      <c r="H162" s="10">
        <f ca="1">IFERROR(__xludf.DUMMYFUNCTION("""COMPUTED_VALUE"""),4231)</f>
        <v>4231</v>
      </c>
    </row>
    <row r="163" spans="1:8">
      <c r="A163" s="8" t="str">
        <f ca="1">IFERROR(__xludf.DUMMYFUNCTION("""COMPUTED_VALUE"""),"AS-SVC-VM-QST-BASIC")</f>
        <v>AS-SVC-VM-QST-BASIC</v>
      </c>
      <c r="B163" s="8" t="str">
        <f ca="1">IFERROR(__xludf.DUMMYFUNCTION("""COMPUTED_VALUE"""),"AS-SVC-VM-QST-BASIC")</f>
        <v>AS-SVC-VM-QST-BASIC</v>
      </c>
      <c r="C163" s="9" t="str">
        <f ca="1">IFERROR(__xludf.DUMMYFUNCTION("""COMPUTED_VALUE"""),"Visitor Management Quick Start Basic")</f>
        <v>Visitor Management Quick Start Basic</v>
      </c>
      <c r="D163" s="8" t="str">
        <f ca="1">IFERROR(__xludf.DUMMYFUNCTION("""COMPUTED_VALUE"""),"One-Time")</f>
        <v>One-Time</v>
      </c>
      <c r="E163" s="9" t="str">
        <f ca="1">IFERROR(__xludf.DUMMYFUNCTION("""COMPUTED_VALUE"""),"Visitor Management Quick Start Basic - Discovery session, customized setup documentation, administrator essentials on-demand webinar, pre-go-live setup review.")</f>
        <v>Visitor Management Quick Start Basic - Discovery session, customized setup documentation, administrator essentials on-demand webinar, pre-go-live setup review.</v>
      </c>
      <c r="F163" s="8" t="str">
        <f ca="1">IFERROR(__xludf.DUMMYFUNCTION("""COMPUTED_VALUE"""),"AUD")</f>
        <v>AUD</v>
      </c>
      <c r="G163" s="8">
        <f ca="1">IFERROR(__xludf.DUMMYFUNCTION("""COMPUTED_VALUE"""),4231)</f>
        <v>4231</v>
      </c>
      <c r="H163" s="10">
        <f ca="1">IFERROR(__xludf.DUMMYFUNCTION("""COMPUTED_VALUE"""),4231)</f>
        <v>4231</v>
      </c>
    </row>
    <row r="164" spans="1:8">
      <c r="A164" s="8" t="str">
        <f ca="1">IFERROR(__xludf.DUMMYFUNCTION("""COMPUTED_VALUE"""),"AS-SVC-VM-QST-ELITE")</f>
        <v>AS-SVC-VM-QST-ELITE</v>
      </c>
      <c r="B164" s="8" t="str">
        <f ca="1">IFERROR(__xludf.DUMMYFUNCTION("""COMPUTED_VALUE"""),"AS-SVC-VM-QST-ELITE")</f>
        <v>AS-SVC-VM-QST-ELITE</v>
      </c>
      <c r="C164" s="9" t="str">
        <f ca="1">IFERROR(__xludf.DUMMYFUNCTION("""COMPUTED_VALUE"""),"Visitor Management Quick Start Elite")</f>
        <v>Visitor Management Quick Start Elite</v>
      </c>
      <c r="D164" s="8" t="str">
        <f ca="1">IFERROR(__xludf.DUMMYFUNCTION("""COMPUTED_VALUE"""),"One-Time")</f>
        <v>One-Time</v>
      </c>
      <c r="E164" s="9" t="str">
        <f ca="1">IFERROR(__xludf.DUMMYFUNCTION("""COMPUTED_VALUE"""),"Visitor Management Quick Start Elite - Mutliple-configuration implementation. Discovery workshops, configurations, badge printing setup, branded checkpoint templates, four customized checkpoint templates, documentation, administrator training.")</f>
        <v>Visitor Management Quick Start Elite - Mutliple-configuration implementation. Discovery workshops, configurations, badge printing setup, branded checkpoint templates, four customized checkpoint templates, documentation, administrator training.</v>
      </c>
      <c r="F164" s="8" t="str">
        <f ca="1">IFERROR(__xludf.DUMMYFUNCTION("""COMPUTED_VALUE"""),"AUD")</f>
        <v>AUD</v>
      </c>
      <c r="G164" s="8">
        <f ca="1">IFERROR(__xludf.DUMMYFUNCTION("""COMPUTED_VALUE"""),33851)</f>
        <v>33851</v>
      </c>
      <c r="H164" s="10">
        <f ca="1">IFERROR(__xludf.DUMMYFUNCTION("""COMPUTED_VALUE"""),33851)</f>
        <v>33851</v>
      </c>
    </row>
    <row r="165" spans="1:8">
      <c r="A165" s="8" t="str">
        <f ca="1">IFERROR(__xludf.DUMMYFUNCTION("""COMPUTED_VALUE"""),"AS-SVC-VM-QST-PREMIUM")</f>
        <v>AS-SVC-VM-QST-PREMIUM</v>
      </c>
      <c r="B165" s="8" t="str">
        <f ca="1">IFERROR(__xludf.DUMMYFUNCTION("""COMPUTED_VALUE"""),"AS-SVC-VM-QST-PREMIUM")</f>
        <v>AS-SVC-VM-QST-PREMIUM</v>
      </c>
      <c r="C165" s="9" t="str">
        <f ca="1">IFERROR(__xludf.DUMMYFUNCTION("""COMPUTED_VALUE"""),"Visitor Management Quick Start Premium")</f>
        <v>Visitor Management Quick Start Premium</v>
      </c>
      <c r="D165" s="8" t="str">
        <f ca="1">IFERROR(__xludf.DUMMYFUNCTION("""COMPUTED_VALUE"""),"One-Time")</f>
        <v>One-Time</v>
      </c>
      <c r="E165" s="9" t="str">
        <f ca="1">IFERROR(__xludf.DUMMYFUNCTION("""COMPUTED_VALUE"""),"Visitor Management Quick Start Premium - Single-configuration implementation. Discovery workshop, configuration, badge printing setup, branded checkpoint templates, two customized checkpoint templates, documentation, administrator training.")</f>
        <v>Visitor Management Quick Start Premium - Single-configuration implementation. Discovery workshop, configuration, badge printing setup, branded checkpoint templates, two customized checkpoint templates, documentation, administrator training.</v>
      </c>
      <c r="F165" s="8" t="str">
        <f ca="1">IFERROR(__xludf.DUMMYFUNCTION("""COMPUTED_VALUE"""),"AUD")</f>
        <v>AUD</v>
      </c>
      <c r="G165" s="8">
        <f ca="1">IFERROR(__xludf.DUMMYFUNCTION("""COMPUTED_VALUE"""),16925)</f>
        <v>16925</v>
      </c>
      <c r="H165" s="10">
        <f ca="1">IFERROR(__xludf.DUMMYFUNCTION("""COMPUTED_VALUE"""),16925)</f>
        <v>16925</v>
      </c>
    </row>
    <row r="166" spans="1:8">
      <c r="A166" s="8" t="str">
        <f ca="1">IFERROR(__xludf.DUMMYFUNCTION("""COMPUTED_VALUE"""),"AS-SVC-WF-BASIC")</f>
        <v>AS-SVC-WF-BASIC</v>
      </c>
      <c r="B166" s="8" t="str">
        <f ca="1">IFERROR(__xludf.DUMMYFUNCTION("""COMPUTED_VALUE"""),"AS-SVC-WF-BASIC With 2D Map")</f>
        <v>AS-SVC-WF-BASIC With 2D Map</v>
      </c>
      <c r="C166" s="9" t="str">
        <f ca="1">IFERROR(__xludf.DUMMYFUNCTION("""COMPUTED_VALUE"""),"Appspace Wayfinding Basic")</f>
        <v>Appspace Wayfinding Basic</v>
      </c>
      <c r="D166" s="8" t="str">
        <f ca="1">IFERROR(__xludf.DUMMYFUNCTION("""COMPUTED_VALUE"""),"One-Time")</f>
        <v>One-Time</v>
      </c>
      <c r="E166" s="9" t="str">
        <f ca="1">IFERROR(__xludf.DUMMYFUNCTION("""COMPUTED_VALUE"""),"Appspace Wayfinding")</f>
        <v>Appspace Wayfinding</v>
      </c>
      <c r="F166" s="8" t="str">
        <f ca="1">IFERROR(__xludf.DUMMYFUNCTION("""COMPUTED_VALUE"""),"AUD")</f>
        <v>AUD</v>
      </c>
      <c r="G166" s="8">
        <f ca="1">IFERROR(__xludf.DUMMYFUNCTION("""COMPUTED_VALUE"""),8463)</f>
        <v>8463</v>
      </c>
      <c r="H166" s="10">
        <f ca="1">IFERROR(__xludf.DUMMYFUNCTION("""COMPUTED_VALUE"""),8463)</f>
        <v>8463</v>
      </c>
    </row>
    <row r="167" spans="1:8">
      <c r="A167" s="8" t="str">
        <f ca="1">IFERROR(__xludf.DUMMYFUNCTION("""COMPUTED_VALUE"""),"AS-SVC-WF-BASIC")</f>
        <v>AS-SVC-WF-BASIC</v>
      </c>
      <c r="B167" s="8" t="str">
        <f ca="1">IFERROR(__xludf.DUMMYFUNCTION("""COMPUTED_VALUE"""),"AS-SVC-WF-BASIC With 3D Map")</f>
        <v>AS-SVC-WF-BASIC With 3D Map</v>
      </c>
      <c r="C167" s="9" t="str">
        <f ca="1">IFERROR(__xludf.DUMMYFUNCTION("""COMPUTED_VALUE"""),"Appspace Wayfinding Basic")</f>
        <v>Appspace Wayfinding Basic</v>
      </c>
      <c r="D167" s="8" t="str">
        <f ca="1">IFERROR(__xludf.DUMMYFUNCTION("""COMPUTED_VALUE"""),"One-Time")</f>
        <v>One-Time</v>
      </c>
      <c r="E167" s="9" t="str">
        <f ca="1">IFERROR(__xludf.DUMMYFUNCTION("""COMPUTED_VALUE"""),"Appspace Wayfinding")</f>
        <v>Appspace Wayfinding</v>
      </c>
      <c r="F167" s="8" t="str">
        <f ca="1">IFERROR(__xludf.DUMMYFUNCTION("""COMPUTED_VALUE"""),"AUD")</f>
        <v>AUD</v>
      </c>
      <c r="G167" s="8">
        <f ca="1">IFERROR(__xludf.DUMMYFUNCTION("""COMPUTED_VALUE"""),8463)</f>
        <v>8463</v>
      </c>
      <c r="H167" s="10">
        <f ca="1">IFERROR(__xludf.DUMMYFUNCTION("""COMPUTED_VALUE"""),8463)</f>
        <v>8463</v>
      </c>
    </row>
    <row r="168" spans="1:8">
      <c r="A168" s="8" t="str">
        <f ca="1">IFERROR(__xludf.DUMMYFUNCTION("""COMPUTED_VALUE"""),"AS-SVC-WF-ELITE")</f>
        <v>AS-SVC-WF-ELITE</v>
      </c>
      <c r="B168" s="8" t="str">
        <f ca="1">IFERROR(__xludf.DUMMYFUNCTION("""COMPUTED_VALUE"""),"AS-SVC-WF-ELITE")</f>
        <v>AS-SVC-WF-ELITE</v>
      </c>
      <c r="C168" s="9" t="str">
        <f ca="1">IFERROR(__xludf.DUMMYFUNCTION("""COMPUTED_VALUE"""),"Wayfinding - Elite")</f>
        <v>Wayfinding - Elite</v>
      </c>
      <c r="D168" s="8" t="str">
        <f ca="1">IFERROR(__xludf.DUMMYFUNCTION("""COMPUTED_VALUE"""),"One-Time")</f>
        <v>One-Time</v>
      </c>
      <c r="E168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8" s="8" t="str">
        <f ca="1">IFERROR(__xludf.DUMMYFUNCTION("""COMPUTED_VALUE"""),"AUD")</f>
        <v>AUD</v>
      </c>
      <c r="G168" s="8">
        <f ca="1">IFERROR(__xludf.DUMMYFUNCTION("""COMPUTED_VALUE"""),33851)</f>
        <v>33851</v>
      </c>
      <c r="H168" s="10">
        <f ca="1">IFERROR(__xludf.DUMMYFUNCTION("""COMPUTED_VALUE"""),33851)</f>
        <v>33851</v>
      </c>
    </row>
    <row r="169" spans="1:8">
      <c r="A169" s="8" t="str">
        <f ca="1">IFERROR(__xludf.DUMMYFUNCTION("""COMPUTED_VALUE"""),"AS-SVC-WF-ELITE")</f>
        <v>AS-SVC-WF-ELITE</v>
      </c>
      <c r="B169" s="8" t="str">
        <f ca="1">IFERROR(__xludf.DUMMYFUNCTION("""COMPUTED_VALUE"""),"AS-SVC-WF-ELITE 2D")</f>
        <v>AS-SVC-WF-ELITE 2D</v>
      </c>
      <c r="C169" s="9" t="str">
        <f ca="1">IFERROR(__xludf.DUMMYFUNCTION("""COMPUTED_VALUE"""),"Wayfinding - Elite")</f>
        <v>Wayfinding - Elite</v>
      </c>
      <c r="D169" s="8" t="str">
        <f ca="1">IFERROR(__xludf.DUMMYFUNCTION("""COMPUTED_VALUE"""),"One-Time")</f>
        <v>One-Time</v>
      </c>
      <c r="E169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69" s="8" t="str">
        <f ca="1">IFERROR(__xludf.DUMMYFUNCTION("""COMPUTED_VALUE"""),"AUD")</f>
        <v>AUD</v>
      </c>
      <c r="G169" s="8">
        <f ca="1">IFERROR(__xludf.DUMMYFUNCTION("""COMPUTED_VALUE"""),42314)</f>
        <v>42314</v>
      </c>
      <c r="H169" s="10">
        <f ca="1">IFERROR(__xludf.DUMMYFUNCTION("""COMPUTED_VALUE"""),42314)</f>
        <v>42314</v>
      </c>
    </row>
    <row r="170" spans="1:8">
      <c r="A170" s="8" t="str">
        <f ca="1">IFERROR(__xludf.DUMMYFUNCTION("""COMPUTED_VALUE"""),"AS-SVC-WF-ELITE")</f>
        <v>AS-SVC-WF-ELITE</v>
      </c>
      <c r="B170" s="8" t="str">
        <f ca="1">IFERROR(__xludf.DUMMYFUNCTION("""COMPUTED_VALUE"""),"AS-SVC-WF-ELITE 3D")</f>
        <v>AS-SVC-WF-ELITE 3D</v>
      </c>
      <c r="C170" s="9" t="str">
        <f ca="1">IFERROR(__xludf.DUMMYFUNCTION("""COMPUTED_VALUE"""),"Wayfinding - Elite")</f>
        <v>Wayfinding - Elite</v>
      </c>
      <c r="D170" s="8" t="str">
        <f ca="1">IFERROR(__xludf.DUMMYFUNCTION("""COMPUTED_VALUE"""),"One-Time")</f>
        <v>One-Time</v>
      </c>
      <c r="E170" s="9" t="str">
        <f ca="1">IFERROR(__xludf.DUMMYFUNCTION("""COMPUTED_VALUE"""),"Appspace Wayfinding Elite - Wayfinding kiosk with tailored interface and functionality. Includes options for custom integration with 3rd party calendar scheduling tool, and animated pathing.")</f>
        <v>Appspace Wayfinding Elite - Wayfinding kiosk with tailored interface and functionality. Includes options for custom integration with 3rd party calendar scheduling tool, and animated pathing.</v>
      </c>
      <c r="F170" s="8" t="str">
        <f ca="1">IFERROR(__xludf.DUMMYFUNCTION("""COMPUTED_VALUE"""),"AUD")</f>
        <v>AUD</v>
      </c>
      <c r="G170" s="8">
        <f ca="1">IFERROR(__xludf.DUMMYFUNCTION("""COMPUTED_VALUE"""),42314)</f>
        <v>42314</v>
      </c>
      <c r="H170" s="10">
        <f ca="1">IFERROR(__xludf.DUMMYFUNCTION("""COMPUTED_VALUE"""),42314)</f>
        <v>42314</v>
      </c>
    </row>
    <row r="171" spans="1:8">
      <c r="A171" s="8" t="str">
        <f ca="1">IFERROR(__xludf.DUMMYFUNCTION("""COMPUTED_VALUE"""),"AS-SVC-WF-PREMIUM")</f>
        <v>AS-SVC-WF-PREMIUM</v>
      </c>
      <c r="B171" s="8" t="str">
        <f ca="1">IFERROR(__xludf.DUMMYFUNCTION("""COMPUTED_VALUE"""),"AS-SVC-WF-PREMIUM With 2D Map")</f>
        <v>AS-SVC-WF-PREMIUM With 2D Map</v>
      </c>
      <c r="C171" s="9" t="str">
        <f ca="1">IFERROR(__xludf.DUMMYFUNCTION("""COMPUTED_VALUE"""),"Appspace Wayfinding Premium")</f>
        <v>Appspace Wayfinding Premium</v>
      </c>
      <c r="D171" s="8" t="str">
        <f ca="1">IFERROR(__xludf.DUMMYFUNCTION("""COMPUTED_VALUE"""),"One-Time")</f>
        <v>One-Time</v>
      </c>
      <c r="E171" s="9" t="str">
        <f ca="1">IFERROR(__xludf.DUMMYFUNCTION("""COMPUTED_VALUE"""),"Wayfinding - Premium")</f>
        <v>Wayfinding - Premium</v>
      </c>
      <c r="F171" s="8" t="str">
        <f ca="1">IFERROR(__xludf.DUMMYFUNCTION("""COMPUTED_VALUE"""),"AUD")</f>
        <v>AUD</v>
      </c>
      <c r="G171" s="8">
        <f ca="1">IFERROR(__xludf.DUMMYFUNCTION("""COMPUTED_VALUE"""),16925)</f>
        <v>16925</v>
      </c>
      <c r="H171" s="10">
        <f ca="1">IFERROR(__xludf.DUMMYFUNCTION("""COMPUTED_VALUE"""),16925)</f>
        <v>16925</v>
      </c>
    </row>
    <row r="172" spans="1:8">
      <c r="A172" s="8" t="str">
        <f ca="1">IFERROR(__xludf.DUMMYFUNCTION("""COMPUTED_VALUE"""),"AS-SVC-WPM-ADVISORY")</f>
        <v>AS-SVC-WPM-ADVISORY</v>
      </c>
      <c r="B172" s="8" t="str">
        <f ca="1">IFERROR(__xludf.DUMMYFUNCTION("""COMPUTED_VALUE"""),"Annual Plan AS-SVC-WPM-ADVISORY")</f>
        <v>Annual Plan AS-SVC-WPM-ADVISORY</v>
      </c>
      <c r="C172" s="9" t="str">
        <f ca="1">IFERROR(__xludf.DUMMYFUNCTION("""COMPUTED_VALUE"""),"Workplace Management Advisory")</f>
        <v>Workplace Management Advisory</v>
      </c>
      <c r="D172" s="8" t="str">
        <f ca="1">IFERROR(__xludf.DUMMYFUNCTION("""COMPUTED_VALUE"""),"Recurring")</f>
        <v>Recurring</v>
      </c>
      <c r="E172" s="9" t="str">
        <f ca="1">IFERROR(__xludf.DUMMYFUNCTION("""COMPUTED_VALUE"""),"Workplace Management Advisory - Comprehensive Workplace Management strategy for your digital &amp; physical workplaces. Ongoing strategic insight into platform usage, industry trends, and product development.")</f>
        <v>Workplace Management Advisory - Comprehensive Workplace Management strategy for your digital &amp; physical workplaces. Ongoing strategic insight into platform usage, industry trends, and product development.</v>
      </c>
      <c r="F172" s="8" t="str">
        <f ca="1">IFERROR(__xludf.DUMMYFUNCTION("""COMPUTED_VALUE"""),"AUD")</f>
        <v>AUD</v>
      </c>
      <c r="G172" s="8">
        <f ca="1">IFERROR(__xludf.DUMMYFUNCTION("""COMPUTED_VALUE"""),5078)</f>
        <v>5078</v>
      </c>
      <c r="H172" s="10">
        <f ca="1">IFERROR(__xludf.DUMMYFUNCTION("""COMPUTED_VALUE"""),60936)</f>
        <v>60936</v>
      </c>
    </row>
    <row r="173" spans="1:8">
      <c r="A173" s="8" t="str">
        <f ca="1">IFERROR(__xludf.DUMMYFUNCTION("""COMPUTED_VALUE"""),"AS-SVC-WPM-QST-ELITE")</f>
        <v>AS-SVC-WPM-QST-ELITE</v>
      </c>
      <c r="B173" s="8" t="str">
        <f ca="1">IFERROR(__xludf.DUMMYFUNCTION("""COMPUTED_VALUE"""),"AS-SVC-WPM-QST-ELITE")</f>
        <v>AS-SVC-WPM-QST-ELITE</v>
      </c>
      <c r="C173" s="9" t="str">
        <f ca="1">IFERROR(__xludf.DUMMYFUNCTION("""COMPUTED_VALUE"""),"Workplace Management Quick Start Elite")</f>
        <v>Workplace Management Quick Start Elite</v>
      </c>
      <c r="D173" s="8" t="str">
        <f ca="1">IFERROR(__xludf.DUMMYFUNCTION("""COMPUTED_VALUE"""),"One-Time")</f>
        <v>One-Time</v>
      </c>
      <c r="E173" s="9" t="str">
        <f ca="1">IFERROR(__xludf.DUMMYFUNCTION("""COMPUTED_VALUE"""),"Workplace Management Quick Start Elite - Multiple-location implementation. Customized implementation plan, Elite Quick Start for Space Reservation, Room Booking, Visitor Management, Elite Wayfinding kiosk. Includes up to first 15 floors.")</f>
        <v>Workplace Management Quick Start Elite - Multiple-location implementation. Customized implementation plan, Elite Quick Start for Space Reservation, Room Booking, Visitor Management, Elite Wayfinding kiosk. Includes up to first 15 floors.</v>
      </c>
      <c r="F173" s="8" t="str">
        <f ca="1">IFERROR(__xludf.DUMMYFUNCTION("""COMPUTED_VALUE"""),"AUD")</f>
        <v>AUD</v>
      </c>
      <c r="G173" s="8">
        <f ca="1">IFERROR(__xludf.DUMMYFUNCTION("""COMPUTED_VALUE"""),135404)</f>
        <v>135404</v>
      </c>
      <c r="H173" s="10">
        <f ca="1">IFERROR(__xludf.DUMMYFUNCTION("""COMPUTED_VALUE"""),135404)</f>
        <v>135404</v>
      </c>
    </row>
    <row r="174" spans="1:8">
      <c r="A174" s="8" t="str">
        <f ca="1">IFERROR(__xludf.DUMMYFUNCTION("""COMPUTED_VALUE"""),"AS-SVC-WPM-QST-PREMIUM")</f>
        <v>AS-SVC-WPM-QST-PREMIUM</v>
      </c>
      <c r="B174" s="8" t="str">
        <f ca="1">IFERROR(__xludf.DUMMYFUNCTION("""COMPUTED_VALUE"""),"AS-SVC-WPM-QST-PREMIUM")</f>
        <v>AS-SVC-WPM-QST-PREMIUM</v>
      </c>
      <c r="C174" s="9" t="str">
        <f ca="1">IFERROR(__xludf.DUMMYFUNCTION("""COMPUTED_VALUE"""),"Workplace Management Quick Start Premium")</f>
        <v>Workplace Management Quick Start Premium</v>
      </c>
      <c r="D174" s="8" t="str">
        <f ca="1">IFERROR(__xludf.DUMMYFUNCTION("""COMPUTED_VALUE"""),"One-Time")</f>
        <v>One-Time</v>
      </c>
      <c r="E174" s="9" t="str">
        <f ca="1">IFERROR(__xludf.DUMMYFUNCTION("""COMPUTED_VALUE"""),"Workplace Management Quick Start Premium - Single-location implementation. Customized implementation plan, Premium Quick Start for Space Reservation, Room Booking, Visitor Management, Elite Wayfinding Kiosk. Includes up to first 10 floors.")</f>
        <v>Workplace Management Quick Start Premium - Single-location implementation. Customized implementation plan, Premium Quick Start for Space Reservation, Room Booking, Visitor Management, Elite Wayfinding Kiosk. Includes up to first 10 floors.</v>
      </c>
      <c r="F174" s="8" t="str">
        <f ca="1">IFERROR(__xludf.DUMMYFUNCTION("""COMPUTED_VALUE"""),"AUD")</f>
        <v>AUD</v>
      </c>
      <c r="G174" s="8">
        <f ca="1">IFERROR(__xludf.DUMMYFUNCTION("""COMPUTED_VALUE"""),84627)</f>
        <v>84627</v>
      </c>
      <c r="H174" s="10">
        <f ca="1">IFERROR(__xludf.DUMMYFUNCTION("""COMPUTED_VALUE"""),84627)</f>
        <v>84627</v>
      </c>
    </row>
    <row r="175" spans="1:8">
      <c r="A175" s="8" t="str">
        <f ca="1">IFERROR(__xludf.DUMMYFUNCTION("""COMPUTED_VALUE"""),"AS-SVC-WXP-ADVISORY")</f>
        <v>AS-SVC-WXP-ADVISORY</v>
      </c>
      <c r="B175" s="8" t="str">
        <f ca="1">IFERROR(__xludf.DUMMYFUNCTION("""COMPUTED_VALUE"""),"Annual Plan AS-SVC-WXP-ADVISORY")</f>
        <v>Annual Plan AS-SVC-WXP-ADVISORY</v>
      </c>
      <c r="C175" s="9" t="str">
        <f ca="1">IFERROR(__xludf.DUMMYFUNCTION("""COMPUTED_VALUE"""),"Workplace Experience Advisory")</f>
        <v>Workplace Experience Advisory</v>
      </c>
      <c r="D175" s="8" t="str">
        <f ca="1">IFERROR(__xludf.DUMMYFUNCTION("""COMPUTED_VALUE"""),"Recurring")</f>
        <v>Recurring</v>
      </c>
      <c r="E175" s="9" t="str">
        <f ca="1">IFERROR(__xludf.DUMMYFUNCTION("""COMPUTED_VALUE"""),"Workplace Experience Advisory - Comprehensive strategy for your digital &amp; physical workplaces. Ongoing strategic insights into platform usage, industry trends and product development.")</f>
        <v>Workplace Experience Advisory - Comprehensive strategy for your digital &amp; physical workplaces. Ongoing strategic insights into platform usage, industry trends and product development.</v>
      </c>
      <c r="F175" s="8" t="str">
        <f ca="1">IFERROR(__xludf.DUMMYFUNCTION("""COMPUTED_VALUE"""),"AUD")</f>
        <v>AUD</v>
      </c>
      <c r="G175" s="8">
        <f ca="1">IFERROR(__xludf.DUMMYFUNCTION("""COMPUTED_VALUE"""),6770)</f>
        <v>6770</v>
      </c>
      <c r="H175" s="10">
        <f ca="1">IFERROR(__xludf.DUMMYFUNCTION("""COMPUTED_VALUE"""),81240)</f>
        <v>81240</v>
      </c>
    </row>
    <row r="176" spans="1:8">
      <c r="A176" s="8" t="str">
        <f ca="1">IFERROR(__xludf.DUMMYFUNCTION("""COMPUTED_VALUE"""),"AS-USR-SUPPORT-CL")</f>
        <v>AS-USR-SUPPORT-CL</v>
      </c>
      <c r="B176" s="8" t="str">
        <f ca="1">IFERROR(__xludf.DUMMYFUNCTION("""COMPUTED_VALUE"""),"Custom Plan AS-USR-SUPPORT-CL")</f>
        <v>Custom Plan AS-USR-SUPPORT-CL</v>
      </c>
      <c r="C176" s="9" t="str">
        <f ca="1">IFERROR(__xludf.DUMMYFUNCTION("""COMPUTED_VALUE"""),"Support User License")</f>
        <v>Support User License</v>
      </c>
      <c r="D176" s="8" t="str">
        <f ca="1">IFERROR(__xludf.DUMMYFUNCTION("""COMPUTED_VALUE"""),"Recurring")</f>
        <v>Recurring</v>
      </c>
      <c r="E17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6" s="8" t="str">
        <f ca="1">IFERROR(__xludf.DUMMYFUNCTION("""COMPUTED_VALUE"""),"AUD")</f>
        <v>AUD</v>
      </c>
      <c r="G176" s="8">
        <f ca="1">IFERROR(__xludf.DUMMYFUNCTION("""COMPUTED_VALUE"""),42.31)</f>
        <v>42.31</v>
      </c>
      <c r="H176" s="8">
        <f ca="1">IFERROR(__xludf.DUMMYFUNCTION("""COMPUTED_VALUE"""),507.72)</f>
        <v>507.72</v>
      </c>
    </row>
    <row r="177" spans="1:8">
      <c r="A177" s="8" t="str">
        <f ca="1">IFERROR(__xludf.DUMMYFUNCTION("""COMPUTED_VALUE"""),"AS-USR-SUPPORT-CL")</f>
        <v>AS-USR-SUPPORT-CL</v>
      </c>
      <c r="B177" s="8" t="str">
        <f ca="1">IFERROR(__xludf.DUMMYFUNCTION("""COMPUTED_VALUE"""),"Monthly AS-USR-SUPPORT-CL")</f>
        <v>Monthly AS-USR-SUPPORT-CL</v>
      </c>
      <c r="C177" s="9" t="str">
        <f ca="1">IFERROR(__xludf.DUMMYFUNCTION("""COMPUTED_VALUE"""),"Support User License")</f>
        <v>Support User License</v>
      </c>
      <c r="D177" s="8" t="str">
        <f ca="1">IFERROR(__xludf.DUMMYFUNCTION("""COMPUTED_VALUE"""),"Recurring")</f>
        <v>Recurring</v>
      </c>
      <c r="E17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7" s="8" t="str">
        <f ca="1">IFERROR(__xludf.DUMMYFUNCTION("""COMPUTED_VALUE"""),"AUD")</f>
        <v>AUD</v>
      </c>
      <c r="G177" s="8">
        <f ca="1">IFERROR(__xludf.DUMMYFUNCTION("""COMPUTED_VALUE"""),50.78)</f>
        <v>50.78</v>
      </c>
      <c r="H177" s="8">
        <f ca="1">IFERROR(__xludf.DUMMYFUNCTION("""COMPUTED_VALUE"""),609.36)</f>
        <v>609.36</v>
      </c>
    </row>
    <row r="178" spans="1:8">
      <c r="A178" s="8" t="str">
        <f ca="1">IFERROR(__xludf.DUMMYFUNCTION("""COMPUTED_VALUE"""),"AS-USR-SUPPORT-CL")</f>
        <v>AS-USR-SUPPORT-CL</v>
      </c>
      <c r="B178" s="8" t="str">
        <f ca="1">IFERROR(__xludf.DUMMYFUNCTION("""COMPUTED_VALUE"""),"Annual Plan AS-USR-SUPPORT-CL")</f>
        <v>Annual Plan AS-USR-SUPPORT-CL</v>
      </c>
      <c r="C178" s="9" t="str">
        <f ca="1">IFERROR(__xludf.DUMMYFUNCTION("""COMPUTED_VALUE"""),"Support User License")</f>
        <v>Support User License</v>
      </c>
      <c r="D178" s="8" t="str">
        <f ca="1">IFERROR(__xludf.DUMMYFUNCTION("""COMPUTED_VALUE"""),"Recurring")</f>
        <v>Recurring</v>
      </c>
      <c r="E178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8" s="8" t="str">
        <f ca="1">IFERROR(__xludf.DUMMYFUNCTION("""COMPUTED_VALUE"""),"AUD")</f>
        <v>AUD</v>
      </c>
      <c r="G178" s="8">
        <f ca="1">IFERROR(__xludf.DUMMYFUNCTION("""COMPUTED_VALUE"""),42.31)</f>
        <v>42.31</v>
      </c>
      <c r="H178" s="8">
        <f ca="1">IFERROR(__xludf.DUMMYFUNCTION("""COMPUTED_VALUE"""),507.72)</f>
        <v>507.72</v>
      </c>
    </row>
    <row r="179" spans="1:8">
      <c r="A179" s="8" t="str">
        <f ca="1">IFERROR(__xludf.DUMMYFUNCTION("""COMPUTED_VALUE"""),"AS-USR-SUPPORT-CL")</f>
        <v>AS-USR-SUPPORT-CL</v>
      </c>
      <c r="B179" s="8" t="str">
        <f ca="1">IFERROR(__xludf.DUMMYFUNCTION("""COMPUTED_VALUE"""),"Prepaid Plan AS-USR-SUPPORT-CL")</f>
        <v>Prepaid Plan AS-USR-SUPPORT-CL</v>
      </c>
      <c r="C179" s="9" t="str">
        <f ca="1">IFERROR(__xludf.DUMMYFUNCTION("""COMPUTED_VALUE"""),"Support User License")</f>
        <v>Support User License</v>
      </c>
      <c r="D179" s="8" t="str">
        <f ca="1">IFERROR(__xludf.DUMMYFUNCTION("""COMPUTED_VALUE"""),"Recurring")</f>
        <v>Recurring</v>
      </c>
      <c r="E179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79" s="8" t="str">
        <f ca="1">IFERROR(__xludf.DUMMYFUNCTION("""COMPUTED_VALUE"""),"AUD")</f>
        <v>AUD</v>
      </c>
      <c r="G179" s="8">
        <f ca="1">IFERROR(__xludf.DUMMYFUNCTION("""COMPUTED_VALUE"""),42.31)</f>
        <v>42.31</v>
      </c>
      <c r="H179" s="10">
        <f ca="1">IFERROR(__xludf.DUMMYFUNCTION("""COMPUTED_VALUE"""),507.72)</f>
        <v>507.72</v>
      </c>
    </row>
    <row r="180" spans="1:8">
      <c r="A180" s="8" t="str">
        <f ca="1">IFERROR(__xludf.DUMMYFUNCTION("""COMPUTED_VALUE"""),"AS-USR-SUPPORT-OP")</f>
        <v>AS-USR-SUPPORT-OP</v>
      </c>
      <c r="B180" s="8" t="str">
        <f ca="1">IFERROR(__xludf.DUMMYFUNCTION("""COMPUTED_VALUE"""),"Monthly AS-USR-SUPPORT-OP")</f>
        <v>Monthly AS-USR-SUPPORT-OP</v>
      </c>
      <c r="C180" s="9" t="str">
        <f ca="1">IFERROR(__xludf.DUMMYFUNCTION("""COMPUTED_VALUE"""),"Support User License")</f>
        <v>Support User License</v>
      </c>
      <c r="D180" s="8" t="str">
        <f ca="1">IFERROR(__xludf.DUMMYFUNCTION("""COMPUTED_VALUE"""),"Recurring")</f>
        <v>Recurring</v>
      </c>
      <c r="E180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0" s="8" t="str">
        <f ca="1">IFERROR(__xludf.DUMMYFUNCTION("""COMPUTED_VALUE"""),"AUD")</f>
        <v>AUD</v>
      </c>
      <c r="G180" s="8">
        <f ca="1">IFERROR(__xludf.DUMMYFUNCTION("""COMPUTED_VALUE"""),101.55)</f>
        <v>101.55</v>
      </c>
      <c r="H180" s="10">
        <f ca="1">IFERROR(__xludf.DUMMYFUNCTION("""COMPUTED_VALUE"""),1218.6)</f>
        <v>1218.5999999999999</v>
      </c>
    </row>
    <row r="181" spans="1:8">
      <c r="A181" s="8" t="str">
        <f ca="1">IFERROR(__xludf.DUMMYFUNCTION("""COMPUTED_VALUE"""),"AS-USR-SUPPORT-OP")</f>
        <v>AS-USR-SUPPORT-OP</v>
      </c>
      <c r="B181" s="8" t="str">
        <f ca="1">IFERROR(__xludf.DUMMYFUNCTION("""COMPUTED_VALUE"""),"Prepaid Plan AS-USR-SUPPORT-OP")</f>
        <v>Prepaid Plan AS-USR-SUPPORT-OP</v>
      </c>
      <c r="C181" s="9" t="str">
        <f ca="1">IFERROR(__xludf.DUMMYFUNCTION("""COMPUTED_VALUE"""),"Support User License")</f>
        <v>Support User License</v>
      </c>
      <c r="D181" s="8" t="str">
        <f ca="1">IFERROR(__xludf.DUMMYFUNCTION("""COMPUTED_VALUE"""),"Recurring")</f>
        <v>Recurring</v>
      </c>
      <c r="E181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1" s="8" t="str">
        <f ca="1">IFERROR(__xludf.DUMMYFUNCTION("""COMPUTED_VALUE"""),"AUD")</f>
        <v>AUD</v>
      </c>
      <c r="G181" s="8">
        <f ca="1">IFERROR(__xludf.DUMMYFUNCTION("""COMPUTED_VALUE"""),84.63)</f>
        <v>84.63</v>
      </c>
      <c r="H181" s="10">
        <f ca="1">IFERROR(__xludf.DUMMYFUNCTION("""COMPUTED_VALUE"""),1015.56)</f>
        <v>1015.56</v>
      </c>
    </row>
    <row r="182" spans="1:8">
      <c r="A182" s="8" t="str">
        <f ca="1">IFERROR(__xludf.DUMMYFUNCTION("""COMPUTED_VALUE"""),"AS-USR-SUPPORT-OP")</f>
        <v>AS-USR-SUPPORT-OP</v>
      </c>
      <c r="B182" s="8" t="str">
        <f ca="1">IFERROR(__xludf.DUMMYFUNCTION("""COMPUTED_VALUE"""),"Custom Plan AS-USR-SUPPORT-OP")</f>
        <v>Custom Plan AS-USR-SUPPORT-OP</v>
      </c>
      <c r="C182" s="9" t="str">
        <f ca="1">IFERROR(__xludf.DUMMYFUNCTION("""COMPUTED_VALUE"""),"Support User License")</f>
        <v>Support User License</v>
      </c>
      <c r="D182" s="8" t="str">
        <f ca="1">IFERROR(__xludf.DUMMYFUNCTION("""COMPUTED_VALUE"""),"Recurring")</f>
        <v>Recurring</v>
      </c>
      <c r="E182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2" s="8" t="str">
        <f ca="1">IFERROR(__xludf.DUMMYFUNCTION("""COMPUTED_VALUE"""),"AUD")</f>
        <v>AUD</v>
      </c>
      <c r="G182" s="8">
        <f ca="1">IFERROR(__xludf.DUMMYFUNCTION("""COMPUTED_VALUE"""),84.63)</f>
        <v>84.63</v>
      </c>
      <c r="H182" s="10">
        <f ca="1">IFERROR(__xludf.DUMMYFUNCTION("""COMPUTED_VALUE"""),1015.56)</f>
        <v>1015.56</v>
      </c>
    </row>
    <row r="183" spans="1:8">
      <c r="A183" s="8" t="str">
        <f ca="1">IFERROR(__xludf.DUMMYFUNCTION("""COMPUTED_VALUE"""),"AS-USR-SUPPORT-OP")</f>
        <v>AS-USR-SUPPORT-OP</v>
      </c>
      <c r="B183" s="8" t="str">
        <f ca="1">IFERROR(__xludf.DUMMYFUNCTION("""COMPUTED_VALUE"""),"Annual Plan AS-USR-SUPPORT-OP")</f>
        <v>Annual Plan AS-USR-SUPPORT-OP</v>
      </c>
      <c r="C183" s="9" t="str">
        <f ca="1">IFERROR(__xludf.DUMMYFUNCTION("""COMPUTED_VALUE"""),"Support User License")</f>
        <v>Support User License</v>
      </c>
      <c r="D183" s="8" t="str">
        <f ca="1">IFERROR(__xludf.DUMMYFUNCTION("""COMPUTED_VALUE"""),"Recurring")</f>
        <v>Recurring</v>
      </c>
      <c r="E183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3" s="8" t="str">
        <f ca="1">IFERROR(__xludf.DUMMYFUNCTION("""COMPUTED_VALUE"""),"AUD")</f>
        <v>AUD</v>
      </c>
      <c r="G183" s="8">
        <f ca="1">IFERROR(__xludf.DUMMYFUNCTION("""COMPUTED_VALUE"""),84.63)</f>
        <v>84.63</v>
      </c>
      <c r="H183" s="10">
        <f ca="1">IFERROR(__xludf.DUMMYFUNCTION("""COMPUTED_VALUE"""),1015.56)</f>
        <v>1015.56</v>
      </c>
    </row>
    <row r="184" spans="1:8">
      <c r="A184" s="8" t="str">
        <f ca="1">IFERROR(__xludf.DUMMYFUNCTION("""COMPUTED_VALUE"""),"AS-USR-SUPPORT-PV")</f>
        <v>AS-USR-SUPPORT-PV</v>
      </c>
      <c r="B184" s="8" t="str">
        <f ca="1">IFERROR(__xludf.DUMMYFUNCTION("""COMPUTED_VALUE"""),"Monthly AS-USR-SUPPORT-PV")</f>
        <v>Monthly AS-USR-SUPPORT-PV</v>
      </c>
      <c r="C184" s="9" t="str">
        <f ca="1">IFERROR(__xludf.DUMMYFUNCTION("""COMPUTED_VALUE"""),"Support User License")</f>
        <v>Support User License</v>
      </c>
      <c r="D184" s="8" t="str">
        <f ca="1">IFERROR(__xludf.DUMMYFUNCTION("""COMPUTED_VALUE"""),"Recurring")</f>
        <v>Recurring</v>
      </c>
      <c r="E184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4" s="8" t="str">
        <f ca="1">IFERROR(__xludf.DUMMYFUNCTION("""COMPUTED_VALUE"""),"AUD")</f>
        <v>AUD</v>
      </c>
      <c r="G184" s="8">
        <f ca="1">IFERROR(__xludf.DUMMYFUNCTION("""COMPUTED_VALUE"""),50.78)</f>
        <v>50.78</v>
      </c>
      <c r="H184" s="8">
        <f ca="1">IFERROR(__xludf.DUMMYFUNCTION("""COMPUTED_VALUE"""),609.36)</f>
        <v>609.36</v>
      </c>
    </row>
    <row r="185" spans="1:8">
      <c r="A185" s="8" t="str">
        <f ca="1">IFERROR(__xludf.DUMMYFUNCTION("""COMPUTED_VALUE"""),"AS-USR-SUPPORT-PV")</f>
        <v>AS-USR-SUPPORT-PV</v>
      </c>
      <c r="B185" s="8" t="str">
        <f ca="1">IFERROR(__xludf.DUMMYFUNCTION("""COMPUTED_VALUE"""),"Prepaid Plan AS-USR-SUPPORT-PV")</f>
        <v>Prepaid Plan AS-USR-SUPPORT-PV</v>
      </c>
      <c r="C185" s="9" t="str">
        <f ca="1">IFERROR(__xludf.DUMMYFUNCTION("""COMPUTED_VALUE"""),"Support User License")</f>
        <v>Support User License</v>
      </c>
      <c r="D185" s="8" t="str">
        <f ca="1">IFERROR(__xludf.DUMMYFUNCTION("""COMPUTED_VALUE"""),"Recurring")</f>
        <v>Recurring</v>
      </c>
      <c r="E185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5" s="8" t="str">
        <f ca="1">IFERROR(__xludf.DUMMYFUNCTION("""COMPUTED_VALUE"""),"AUD")</f>
        <v>AUD</v>
      </c>
      <c r="G185" s="8">
        <f ca="1">IFERROR(__xludf.DUMMYFUNCTION("""COMPUTED_VALUE"""),42.31)</f>
        <v>42.31</v>
      </c>
      <c r="H185" s="8">
        <f ca="1">IFERROR(__xludf.DUMMYFUNCTION("""COMPUTED_VALUE"""),507.72)</f>
        <v>507.72</v>
      </c>
    </row>
    <row r="186" spans="1:8">
      <c r="A186" s="8" t="str">
        <f ca="1">IFERROR(__xludf.DUMMYFUNCTION("""COMPUTED_VALUE"""),"AS-USR-SUPPORT-PV")</f>
        <v>AS-USR-SUPPORT-PV</v>
      </c>
      <c r="B186" s="8" t="str">
        <f ca="1">IFERROR(__xludf.DUMMYFUNCTION("""COMPUTED_VALUE"""),"Custom Plan AS-USR-SUPPORT-PV")</f>
        <v>Custom Plan AS-USR-SUPPORT-PV</v>
      </c>
      <c r="C186" s="9" t="str">
        <f ca="1">IFERROR(__xludf.DUMMYFUNCTION("""COMPUTED_VALUE"""),"Support User License")</f>
        <v>Support User License</v>
      </c>
      <c r="D186" s="8" t="str">
        <f ca="1">IFERROR(__xludf.DUMMYFUNCTION("""COMPUTED_VALUE"""),"Recurring")</f>
        <v>Recurring</v>
      </c>
      <c r="E186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6" s="8" t="str">
        <f ca="1">IFERROR(__xludf.DUMMYFUNCTION("""COMPUTED_VALUE"""),"AUD")</f>
        <v>AUD</v>
      </c>
      <c r="G186" s="8">
        <f ca="1">IFERROR(__xludf.DUMMYFUNCTION("""COMPUTED_VALUE"""),42.31)</f>
        <v>42.31</v>
      </c>
      <c r="H186" s="8">
        <f ca="1">IFERROR(__xludf.DUMMYFUNCTION("""COMPUTED_VALUE"""),507.72)</f>
        <v>507.72</v>
      </c>
    </row>
    <row r="187" spans="1:8">
      <c r="A187" s="8" t="str">
        <f ca="1">IFERROR(__xludf.DUMMYFUNCTION("""COMPUTED_VALUE"""),"AS-USR-SUPPORT-PV")</f>
        <v>AS-USR-SUPPORT-PV</v>
      </c>
      <c r="B187" s="8" t="str">
        <f ca="1">IFERROR(__xludf.DUMMYFUNCTION("""COMPUTED_VALUE"""),"Annual Plan AS-USR-SUPPORT-PV")</f>
        <v>Annual Plan AS-USR-SUPPORT-PV</v>
      </c>
      <c r="C187" s="9" t="str">
        <f ca="1">IFERROR(__xludf.DUMMYFUNCTION("""COMPUTED_VALUE"""),"Support User License")</f>
        <v>Support User License</v>
      </c>
      <c r="D187" s="8" t="str">
        <f ca="1">IFERROR(__xludf.DUMMYFUNCTION("""COMPUTED_VALUE"""),"Recurring")</f>
        <v>Recurring</v>
      </c>
      <c r="E187" s="9" t="str">
        <f ca="1">IFERROR(__xludf.DUMMYFUNCTION("""COMPUTED_VALUE"""),"Appspace Support User License - Named user license for access to Appspace support portal")</f>
        <v>Appspace Support User License - Named user license for access to Appspace support portal</v>
      </c>
      <c r="F187" s="8" t="str">
        <f ca="1">IFERROR(__xludf.DUMMYFUNCTION("""COMPUTED_VALUE"""),"AUD")</f>
        <v>AUD</v>
      </c>
      <c r="G187" s="8">
        <f ca="1">IFERROR(__xludf.DUMMYFUNCTION("""COMPUTED_VALUE"""),42.31)</f>
        <v>42.31</v>
      </c>
      <c r="H187" s="10">
        <f ca="1">IFERROR(__xludf.DUMMYFUNCTION("""COMPUTED_VALUE"""),507.72)</f>
        <v>507.72</v>
      </c>
    </row>
    <row r="188" spans="1:8">
      <c r="A188" s="8" t="str">
        <f ca="1">IFERROR(__xludf.DUMMYFUNCTION("""COMPUTED_VALUE"""),"BZ-SVC-MCS")</f>
        <v>BZ-SVC-MCS</v>
      </c>
      <c r="B188" s="8" t="str">
        <f ca="1">IFERROR(__xludf.DUMMYFUNCTION("""COMPUTED_VALUE"""),"Annual Plan BZ-SVC-MCS")</f>
        <v>Annual Plan BZ-SVC-MCS</v>
      </c>
      <c r="C188" s="9" t="str">
        <f ca="1">IFERROR(__xludf.DUMMYFUNCTION("""COMPUTED_VALUE"""),"Managed Custom Solutions")</f>
        <v>Managed Custom Solutions</v>
      </c>
      <c r="D188" s="8" t="str">
        <f ca="1">IFERROR(__xludf.DUMMYFUNCTION("""COMPUTED_VALUE"""),"Recurring")</f>
        <v>Recurring</v>
      </c>
      <c r="E188" s="9" t="str">
        <f ca="1">IFERROR(__xludf.DUMMYFUNCTION("""COMPUTED_VALUE"""),"Enhanced Services Managed Custom Solutions")</f>
        <v>Enhanced Services Managed Custom Solutions</v>
      </c>
      <c r="F188" s="8" t="str">
        <f ca="1">IFERROR(__xludf.DUMMYFUNCTION("""COMPUTED_VALUE"""),"AUD")</f>
        <v>AUD</v>
      </c>
      <c r="G188" s="8">
        <f ca="1">IFERROR(__xludf.DUMMYFUNCTION("""COMPUTED_VALUE"""),1693)</f>
        <v>1693</v>
      </c>
      <c r="H188" s="10">
        <f ca="1">IFERROR(__xludf.DUMMYFUNCTION("""COMPUTED_VALUE"""),20316)</f>
        <v>20316</v>
      </c>
    </row>
    <row r="189" spans="1:8">
      <c r="C189" s="9"/>
      <c r="E189" s="9"/>
    </row>
    <row r="190" spans="1:8">
      <c r="C190" s="9"/>
      <c r="E190" s="9"/>
    </row>
    <row r="191" spans="1:8">
      <c r="C191" s="9"/>
      <c r="E191" s="9"/>
    </row>
    <row r="192" spans="1:8">
      <c r="C192" s="9"/>
      <c r="E192" s="9"/>
    </row>
    <row r="193" spans="3:5">
      <c r="C193" s="9"/>
      <c r="E193" s="9"/>
    </row>
    <row r="194" spans="3:5">
      <c r="C194" s="9"/>
      <c r="E194" s="9"/>
    </row>
    <row r="195" spans="3:5">
      <c r="C195" s="9"/>
      <c r="E195" s="9"/>
    </row>
    <row r="196" spans="3:5">
      <c r="C196" s="9"/>
      <c r="E196" s="9"/>
    </row>
    <row r="197" spans="3:5">
      <c r="C197" s="9"/>
      <c r="E197" s="9"/>
    </row>
    <row r="198" spans="3:5">
      <c r="C198" s="9"/>
      <c r="E198" s="9"/>
    </row>
    <row r="199" spans="3:5">
      <c r="C199" s="9"/>
      <c r="E199" s="9"/>
    </row>
    <row r="200" spans="3:5">
      <c r="C200" s="9"/>
      <c r="E200" s="9"/>
    </row>
    <row r="201" spans="3:5">
      <c r="C201" s="9"/>
      <c r="E201" s="9"/>
    </row>
    <row r="202" spans="3:5">
      <c r="C202" s="9"/>
      <c r="E202" s="9"/>
    </row>
    <row r="203" spans="3:5">
      <c r="C203" s="9"/>
      <c r="E203" s="9"/>
    </row>
    <row r="204" spans="3:5">
      <c r="C204" s="9"/>
      <c r="E204" s="9"/>
    </row>
    <row r="205" spans="3:5">
      <c r="C205" s="9"/>
      <c r="E205" s="9"/>
    </row>
    <row r="206" spans="3:5">
      <c r="C206" s="9"/>
      <c r="E206" s="9"/>
    </row>
    <row r="207" spans="3:5">
      <c r="C207" s="9"/>
      <c r="E207" s="9"/>
    </row>
    <row r="208" spans="3:5">
      <c r="C208" s="9"/>
      <c r="E208" s="9"/>
    </row>
    <row r="209" spans="3:5">
      <c r="C209" s="9"/>
      <c r="E209" s="9"/>
    </row>
    <row r="210" spans="3:5">
      <c r="C210" s="9"/>
      <c r="E210" s="9"/>
    </row>
    <row r="211" spans="3:5">
      <c r="C211" s="9"/>
      <c r="E211" s="9"/>
    </row>
    <row r="212" spans="3:5">
      <c r="C212" s="9"/>
      <c r="E212" s="9"/>
    </row>
    <row r="213" spans="3:5">
      <c r="C213" s="9"/>
      <c r="E213" s="9"/>
    </row>
    <row r="214" spans="3:5">
      <c r="C214" s="9"/>
      <c r="E214" s="9"/>
    </row>
    <row r="215" spans="3:5">
      <c r="C215" s="9"/>
      <c r="E215" s="9"/>
    </row>
    <row r="216" spans="3:5">
      <c r="C216" s="9"/>
      <c r="E216" s="9"/>
    </row>
    <row r="217" spans="3:5">
      <c r="C217" s="9"/>
      <c r="E217" s="9"/>
    </row>
    <row r="218" spans="3:5">
      <c r="C218" s="9"/>
      <c r="E218" s="9"/>
    </row>
    <row r="219" spans="3:5">
      <c r="C219" s="9"/>
      <c r="E219" s="9"/>
    </row>
    <row r="220" spans="3:5">
      <c r="C220" s="9"/>
      <c r="E220" s="9"/>
    </row>
    <row r="221" spans="3:5">
      <c r="C221" s="9"/>
      <c r="E221" s="9"/>
    </row>
    <row r="222" spans="3:5">
      <c r="C222" s="9"/>
      <c r="E222" s="9"/>
    </row>
    <row r="223" spans="3:5">
      <c r="C223" s="9"/>
      <c r="E223" s="9"/>
    </row>
    <row r="224" spans="3:5">
      <c r="C224" s="9"/>
      <c r="E224" s="9"/>
    </row>
    <row r="225" spans="3:5">
      <c r="C225" s="9"/>
      <c r="E225" s="9"/>
    </row>
    <row r="226" spans="3:5">
      <c r="C226" s="9"/>
      <c r="E226" s="9"/>
    </row>
    <row r="227" spans="3:5">
      <c r="C227" s="9"/>
      <c r="E227" s="9"/>
    </row>
    <row r="228" spans="3:5">
      <c r="C228" s="9"/>
      <c r="E228" s="9"/>
    </row>
    <row r="229" spans="3:5">
      <c r="C229" s="9"/>
      <c r="E229" s="9"/>
    </row>
    <row r="230" spans="3:5">
      <c r="C230" s="9"/>
      <c r="E230" s="9"/>
    </row>
    <row r="231" spans="3:5">
      <c r="C231" s="9"/>
      <c r="E231" s="9"/>
    </row>
    <row r="232" spans="3:5">
      <c r="C232" s="9"/>
      <c r="E232" s="9"/>
    </row>
    <row r="233" spans="3:5">
      <c r="C233" s="9"/>
      <c r="E233" s="9"/>
    </row>
    <row r="234" spans="3:5">
      <c r="C234" s="9"/>
      <c r="E234" s="9"/>
    </row>
    <row r="235" spans="3:5">
      <c r="C235" s="9"/>
      <c r="E235" s="9"/>
    </row>
    <row r="236" spans="3:5">
      <c r="C236" s="9"/>
      <c r="E236" s="9"/>
    </row>
    <row r="237" spans="3:5">
      <c r="C237" s="9"/>
      <c r="E237" s="9"/>
    </row>
    <row r="238" spans="3:5">
      <c r="C238" s="9"/>
      <c r="E238" s="9"/>
    </row>
    <row r="239" spans="3:5">
      <c r="C239" s="9"/>
      <c r="E239" s="9"/>
    </row>
    <row r="240" spans="3:5">
      <c r="C240" s="9"/>
      <c r="E240" s="9"/>
    </row>
    <row r="241" spans="3:5">
      <c r="C241" s="9"/>
      <c r="E241" s="9"/>
    </row>
    <row r="242" spans="3:5">
      <c r="C242" s="9"/>
      <c r="E242" s="9"/>
    </row>
    <row r="243" spans="3:5">
      <c r="C243" s="9"/>
      <c r="E243" s="9"/>
    </row>
    <row r="244" spans="3:5">
      <c r="C244" s="9"/>
      <c r="E244" s="9"/>
    </row>
    <row r="245" spans="3:5">
      <c r="C245" s="9"/>
      <c r="E245" s="9"/>
    </row>
    <row r="246" spans="3:5">
      <c r="C246" s="9"/>
      <c r="E246" s="9"/>
    </row>
    <row r="247" spans="3:5">
      <c r="C247" s="9"/>
      <c r="E247" s="9"/>
    </row>
    <row r="248" spans="3:5">
      <c r="C248" s="9"/>
      <c r="E248" s="9"/>
    </row>
    <row r="249" spans="3:5">
      <c r="C249" s="9"/>
      <c r="E249" s="9"/>
    </row>
    <row r="250" spans="3:5">
      <c r="C250" s="9"/>
      <c r="E250" s="9"/>
    </row>
    <row r="251" spans="3:5">
      <c r="C251" s="9"/>
      <c r="E251" s="9"/>
    </row>
    <row r="252" spans="3:5">
      <c r="C252" s="9"/>
      <c r="E252" s="9"/>
    </row>
    <row r="253" spans="3:5">
      <c r="C253" s="9"/>
      <c r="E253" s="9"/>
    </row>
    <row r="254" spans="3:5">
      <c r="C254" s="9"/>
      <c r="E254" s="9"/>
    </row>
    <row r="255" spans="3:5">
      <c r="C255" s="9"/>
      <c r="E255" s="9"/>
    </row>
    <row r="256" spans="3:5">
      <c r="C256" s="9"/>
      <c r="E256" s="9"/>
    </row>
    <row r="257" spans="3:5">
      <c r="C257" s="9"/>
      <c r="E257" s="9"/>
    </row>
    <row r="258" spans="3:5">
      <c r="C258" s="9"/>
      <c r="E258" s="9"/>
    </row>
    <row r="259" spans="3:5">
      <c r="C259" s="9"/>
      <c r="E259" s="9"/>
    </row>
    <row r="260" spans="3:5">
      <c r="C260" s="9"/>
      <c r="E260" s="9"/>
    </row>
    <row r="261" spans="3:5">
      <c r="C261" s="9"/>
      <c r="E261" s="9"/>
    </row>
    <row r="262" spans="3:5">
      <c r="C262" s="9"/>
      <c r="E262" s="9"/>
    </row>
    <row r="263" spans="3:5">
      <c r="C263" s="9"/>
      <c r="E263" s="9"/>
    </row>
    <row r="264" spans="3:5">
      <c r="C264" s="9"/>
      <c r="E264" s="9"/>
    </row>
    <row r="265" spans="3:5">
      <c r="C265" s="9"/>
      <c r="E265" s="9"/>
    </row>
    <row r="266" spans="3:5">
      <c r="C266" s="9"/>
      <c r="E266" s="9"/>
    </row>
    <row r="267" spans="3:5">
      <c r="C267" s="9"/>
      <c r="E267" s="9"/>
    </row>
    <row r="268" spans="3:5">
      <c r="C268" s="9"/>
      <c r="E268" s="9"/>
    </row>
    <row r="269" spans="3:5">
      <c r="C269" s="9"/>
      <c r="E269" s="9"/>
    </row>
    <row r="270" spans="3:5">
      <c r="C270" s="9"/>
      <c r="E270" s="9"/>
    </row>
    <row r="271" spans="3:5">
      <c r="C271" s="9"/>
      <c r="E271" s="9"/>
    </row>
    <row r="272" spans="3:5">
      <c r="C272" s="9"/>
      <c r="E272" s="9"/>
    </row>
    <row r="273" spans="3:5">
      <c r="C273" s="9"/>
      <c r="E273" s="9"/>
    </row>
    <row r="274" spans="3:5">
      <c r="C274" s="9"/>
      <c r="E274" s="9"/>
    </row>
    <row r="275" spans="3:5">
      <c r="C275" s="9"/>
      <c r="E275" s="9"/>
    </row>
    <row r="276" spans="3:5">
      <c r="C276" s="9"/>
      <c r="E276" s="9"/>
    </row>
    <row r="277" spans="3:5">
      <c r="C277" s="9"/>
      <c r="E277" s="9"/>
    </row>
    <row r="278" spans="3:5">
      <c r="C278" s="9"/>
      <c r="E278" s="9"/>
    </row>
    <row r="279" spans="3:5">
      <c r="C279" s="9"/>
      <c r="E279" s="9"/>
    </row>
    <row r="280" spans="3:5">
      <c r="C280" s="9"/>
      <c r="E280" s="9"/>
    </row>
    <row r="281" spans="3:5">
      <c r="C281" s="9"/>
      <c r="E281" s="9"/>
    </row>
    <row r="282" spans="3:5">
      <c r="C282" s="9"/>
      <c r="E282" s="9"/>
    </row>
    <row r="283" spans="3:5">
      <c r="C283" s="9"/>
      <c r="E283" s="9"/>
    </row>
    <row r="284" spans="3:5">
      <c r="C284" s="9"/>
      <c r="E284" s="9"/>
    </row>
    <row r="285" spans="3:5">
      <c r="C285" s="9"/>
      <c r="E285" s="9"/>
    </row>
    <row r="286" spans="3:5">
      <c r="C286" s="9"/>
      <c r="E286" s="9"/>
    </row>
    <row r="287" spans="3:5">
      <c r="C287" s="9"/>
      <c r="E287" s="9"/>
    </row>
    <row r="288" spans="3:5">
      <c r="C288" s="9"/>
      <c r="E288" s="9"/>
    </row>
    <row r="289" spans="3:5">
      <c r="C289" s="9"/>
      <c r="E289" s="9"/>
    </row>
    <row r="290" spans="3:5">
      <c r="C290" s="9"/>
      <c r="E290" s="9"/>
    </row>
    <row r="291" spans="3:5">
      <c r="C291" s="9"/>
      <c r="E291" s="9"/>
    </row>
    <row r="292" spans="3:5">
      <c r="C292" s="9"/>
      <c r="E292" s="9"/>
    </row>
    <row r="293" spans="3:5">
      <c r="C293" s="9"/>
      <c r="E293" s="9"/>
    </row>
    <row r="294" spans="3:5">
      <c r="C294" s="9"/>
      <c r="E294" s="9"/>
    </row>
    <row r="295" spans="3:5">
      <c r="C295" s="9"/>
      <c r="E295" s="9"/>
    </row>
    <row r="296" spans="3:5">
      <c r="C296" s="9"/>
      <c r="E296" s="9"/>
    </row>
    <row r="297" spans="3:5">
      <c r="C297" s="9"/>
      <c r="E297" s="9"/>
    </row>
    <row r="298" spans="3:5">
      <c r="C298" s="9"/>
      <c r="E298" s="9"/>
    </row>
    <row r="299" spans="3:5">
      <c r="C299" s="9"/>
      <c r="E299" s="9"/>
    </row>
    <row r="300" spans="3:5">
      <c r="C300" s="9"/>
      <c r="E300" s="9"/>
    </row>
    <row r="301" spans="3:5">
      <c r="C301" s="9"/>
      <c r="E301" s="9"/>
    </row>
    <row r="302" spans="3:5">
      <c r="C302" s="9"/>
      <c r="E302" s="9"/>
    </row>
    <row r="303" spans="3:5">
      <c r="C303" s="9"/>
      <c r="E303" s="9"/>
    </row>
    <row r="304" spans="3:5">
      <c r="C304" s="9"/>
      <c r="E304" s="9"/>
    </row>
    <row r="305" spans="3:5">
      <c r="C305" s="9"/>
      <c r="E305" s="9"/>
    </row>
    <row r="306" spans="3:5">
      <c r="C306" s="9"/>
      <c r="E306" s="9"/>
    </row>
    <row r="307" spans="3:5">
      <c r="C307" s="9"/>
      <c r="E307" s="9"/>
    </row>
    <row r="308" spans="3:5">
      <c r="C308" s="9"/>
      <c r="E308" s="9"/>
    </row>
    <row r="309" spans="3:5">
      <c r="C309" s="9"/>
      <c r="E309" s="9"/>
    </row>
    <row r="310" spans="3:5">
      <c r="C310" s="9"/>
      <c r="E310" s="9"/>
    </row>
    <row r="311" spans="3:5">
      <c r="C311" s="9"/>
      <c r="E311" s="9"/>
    </row>
    <row r="312" spans="3:5">
      <c r="C312" s="9"/>
      <c r="E312" s="9"/>
    </row>
    <row r="313" spans="3:5">
      <c r="C313" s="9"/>
      <c r="E313" s="9"/>
    </row>
    <row r="314" spans="3:5">
      <c r="C314" s="9"/>
      <c r="E314" s="9"/>
    </row>
    <row r="315" spans="3:5">
      <c r="C315" s="9"/>
      <c r="E315" s="9"/>
    </row>
    <row r="316" spans="3:5">
      <c r="C316" s="9"/>
      <c r="E316" s="9"/>
    </row>
    <row r="317" spans="3:5">
      <c r="C317" s="9"/>
      <c r="E317" s="9"/>
    </row>
    <row r="318" spans="3:5">
      <c r="C318" s="9"/>
      <c r="E318" s="9"/>
    </row>
    <row r="319" spans="3:5">
      <c r="C319" s="9"/>
      <c r="E319" s="9"/>
    </row>
    <row r="320" spans="3:5">
      <c r="C320" s="9"/>
      <c r="E320" s="9"/>
    </row>
    <row r="321" spans="3:5">
      <c r="C321" s="9"/>
      <c r="E321" s="9"/>
    </row>
    <row r="322" spans="3:5">
      <c r="C322" s="9"/>
      <c r="E322" s="9"/>
    </row>
    <row r="323" spans="3:5">
      <c r="C323" s="9"/>
      <c r="E323" s="9"/>
    </row>
    <row r="324" spans="3:5">
      <c r="C324" s="9"/>
      <c r="E324" s="9"/>
    </row>
    <row r="325" spans="3:5">
      <c r="C325" s="9"/>
      <c r="E325" s="9"/>
    </row>
    <row r="326" spans="3:5">
      <c r="C326" s="9"/>
      <c r="E326" s="9"/>
    </row>
    <row r="327" spans="3:5">
      <c r="C327" s="9"/>
      <c r="E327" s="9"/>
    </row>
    <row r="328" spans="3:5">
      <c r="C328" s="9"/>
      <c r="E328" s="9"/>
    </row>
    <row r="329" spans="3:5">
      <c r="C329" s="9"/>
      <c r="E329" s="9"/>
    </row>
    <row r="330" spans="3:5">
      <c r="C330" s="9"/>
      <c r="E330" s="9"/>
    </row>
    <row r="331" spans="3:5">
      <c r="C331" s="9"/>
      <c r="E331" s="9"/>
    </row>
    <row r="332" spans="3:5">
      <c r="C332" s="9"/>
      <c r="E332" s="9"/>
    </row>
    <row r="333" spans="3:5">
      <c r="C333" s="9"/>
      <c r="E333" s="9"/>
    </row>
    <row r="334" spans="3:5">
      <c r="C334" s="9"/>
      <c r="E334" s="9"/>
    </row>
    <row r="335" spans="3:5">
      <c r="C335" s="9"/>
      <c r="E335" s="9"/>
    </row>
    <row r="336" spans="3:5">
      <c r="C336" s="9"/>
      <c r="E336" s="9"/>
    </row>
    <row r="337" spans="3:5">
      <c r="C337" s="9"/>
      <c r="E337" s="9"/>
    </row>
    <row r="338" spans="3:5">
      <c r="C338" s="9"/>
      <c r="E338" s="9"/>
    </row>
    <row r="339" spans="3:5">
      <c r="C339" s="9"/>
      <c r="E339" s="9"/>
    </row>
    <row r="340" spans="3:5">
      <c r="C340" s="9"/>
      <c r="E340" s="9"/>
    </row>
    <row r="341" spans="3:5">
      <c r="C341" s="9"/>
      <c r="E341" s="9"/>
    </row>
    <row r="342" spans="3:5">
      <c r="C342" s="9"/>
      <c r="E342" s="9"/>
    </row>
    <row r="343" spans="3:5">
      <c r="C343" s="9"/>
      <c r="E343" s="9"/>
    </row>
    <row r="344" spans="3:5">
      <c r="C344" s="9"/>
      <c r="E344" s="9"/>
    </row>
    <row r="345" spans="3:5">
      <c r="C345" s="9"/>
      <c r="E345" s="9"/>
    </row>
    <row r="346" spans="3:5">
      <c r="C346" s="9"/>
      <c r="E346" s="9"/>
    </row>
    <row r="347" spans="3:5">
      <c r="C347" s="9"/>
      <c r="E347" s="9"/>
    </row>
    <row r="348" spans="3:5">
      <c r="C348" s="9"/>
      <c r="E348" s="9"/>
    </row>
    <row r="349" spans="3:5">
      <c r="C349" s="9"/>
      <c r="E349" s="9"/>
    </row>
    <row r="350" spans="3:5">
      <c r="C350" s="9"/>
      <c r="E350" s="9"/>
    </row>
    <row r="351" spans="3:5">
      <c r="C351" s="9"/>
      <c r="E351" s="9"/>
    </row>
    <row r="352" spans="3:5">
      <c r="C352" s="9"/>
      <c r="E352" s="9"/>
    </row>
    <row r="353" spans="3:5">
      <c r="C353" s="9"/>
      <c r="E353" s="9"/>
    </row>
    <row r="354" spans="3:5">
      <c r="C354" s="9"/>
      <c r="E354" s="9"/>
    </row>
    <row r="355" spans="3:5">
      <c r="C355" s="9"/>
      <c r="E355" s="9"/>
    </row>
    <row r="356" spans="3:5">
      <c r="C356" s="9"/>
      <c r="E356" s="9"/>
    </row>
    <row r="357" spans="3:5">
      <c r="C357" s="9"/>
      <c r="E357" s="9"/>
    </row>
    <row r="358" spans="3:5">
      <c r="C358" s="9"/>
      <c r="E358" s="9"/>
    </row>
    <row r="359" spans="3:5">
      <c r="C359" s="9"/>
      <c r="E359" s="9"/>
    </row>
    <row r="360" spans="3:5">
      <c r="C360" s="9"/>
      <c r="E360" s="9"/>
    </row>
    <row r="361" spans="3:5">
      <c r="C361" s="9"/>
      <c r="E361" s="9"/>
    </row>
    <row r="362" spans="3:5">
      <c r="C362" s="9"/>
      <c r="E362" s="9"/>
    </row>
    <row r="363" spans="3:5">
      <c r="C363" s="9"/>
      <c r="E363" s="9"/>
    </row>
    <row r="364" spans="3:5">
      <c r="C364" s="9"/>
      <c r="E364" s="9"/>
    </row>
    <row r="365" spans="3:5">
      <c r="C365" s="9"/>
      <c r="E365" s="9"/>
    </row>
    <row r="366" spans="3:5">
      <c r="C366" s="9"/>
      <c r="E366" s="9"/>
    </row>
    <row r="367" spans="3:5">
      <c r="C367" s="9"/>
      <c r="E367" s="9"/>
    </row>
    <row r="368" spans="3:5">
      <c r="C368" s="9"/>
      <c r="E368" s="9"/>
    </row>
    <row r="369" spans="3:5">
      <c r="C369" s="9"/>
      <c r="E369" s="9"/>
    </row>
    <row r="370" spans="3:5">
      <c r="C370" s="9"/>
      <c r="E370" s="9"/>
    </row>
    <row r="371" spans="3:5">
      <c r="C371" s="9"/>
      <c r="E371" s="9"/>
    </row>
    <row r="372" spans="3:5">
      <c r="C372" s="9"/>
      <c r="E372" s="9"/>
    </row>
    <row r="373" spans="3:5">
      <c r="C373" s="9"/>
      <c r="E373" s="9"/>
    </row>
    <row r="374" spans="3:5">
      <c r="C374" s="9"/>
      <c r="E374" s="9"/>
    </row>
    <row r="375" spans="3:5">
      <c r="C375" s="9"/>
      <c r="E375" s="9"/>
    </row>
    <row r="376" spans="3:5">
      <c r="C376" s="9"/>
      <c r="E376" s="9"/>
    </row>
    <row r="377" spans="3:5">
      <c r="C377" s="9"/>
      <c r="E377" s="9"/>
    </row>
    <row r="378" spans="3:5">
      <c r="C378" s="9"/>
      <c r="E378" s="9"/>
    </row>
    <row r="379" spans="3:5">
      <c r="C379" s="9"/>
      <c r="E379" s="9"/>
    </row>
    <row r="380" spans="3:5">
      <c r="C380" s="9"/>
      <c r="E380" s="9"/>
    </row>
    <row r="381" spans="3:5">
      <c r="C381" s="9"/>
      <c r="E381" s="9"/>
    </row>
    <row r="382" spans="3:5">
      <c r="C382" s="9"/>
      <c r="E382" s="9"/>
    </row>
    <row r="383" spans="3:5">
      <c r="C383" s="9"/>
      <c r="E383" s="9"/>
    </row>
    <row r="384" spans="3:5">
      <c r="C384" s="9"/>
      <c r="E384" s="9"/>
    </row>
    <row r="385" spans="3:5">
      <c r="C385" s="9"/>
      <c r="E385" s="9"/>
    </row>
    <row r="386" spans="3:5">
      <c r="C386" s="9"/>
      <c r="E386" s="9"/>
    </row>
    <row r="387" spans="3:5">
      <c r="C387" s="9"/>
      <c r="E387" s="9"/>
    </row>
    <row r="388" spans="3:5">
      <c r="C388" s="9"/>
      <c r="E388" s="9"/>
    </row>
    <row r="389" spans="3:5">
      <c r="C389" s="9"/>
      <c r="E389" s="9"/>
    </row>
    <row r="390" spans="3:5">
      <c r="C390" s="9"/>
      <c r="E390" s="9"/>
    </row>
    <row r="391" spans="3:5">
      <c r="C391" s="9"/>
      <c r="E391" s="9"/>
    </row>
    <row r="392" spans="3:5">
      <c r="C392" s="9"/>
      <c r="E392" s="9"/>
    </row>
    <row r="393" spans="3:5">
      <c r="C393" s="9"/>
      <c r="E393" s="9"/>
    </row>
    <row r="394" spans="3:5">
      <c r="C394" s="9"/>
      <c r="E394" s="9"/>
    </row>
    <row r="395" spans="3:5">
      <c r="C395" s="9"/>
      <c r="E395" s="9"/>
    </row>
    <row r="396" spans="3:5">
      <c r="C396" s="9"/>
      <c r="E396" s="9"/>
    </row>
    <row r="397" spans="3:5">
      <c r="C397" s="9"/>
      <c r="E397" s="9"/>
    </row>
    <row r="398" spans="3:5">
      <c r="C398" s="9"/>
      <c r="E398" s="9"/>
    </row>
    <row r="399" spans="3:5">
      <c r="C399" s="9"/>
      <c r="E399" s="9"/>
    </row>
    <row r="400" spans="3:5">
      <c r="C400" s="9"/>
      <c r="E400" s="9"/>
    </row>
    <row r="401" spans="3:5">
      <c r="C401" s="9"/>
      <c r="E401" s="9"/>
    </row>
    <row r="402" spans="3:5">
      <c r="C402" s="9"/>
      <c r="E402" s="9"/>
    </row>
    <row r="403" spans="3:5">
      <c r="C403" s="9"/>
      <c r="E403" s="9"/>
    </row>
    <row r="404" spans="3:5">
      <c r="C404" s="9"/>
      <c r="E404" s="9"/>
    </row>
    <row r="405" spans="3:5">
      <c r="C405" s="9"/>
      <c r="E405" s="9"/>
    </row>
    <row r="406" spans="3:5">
      <c r="C406" s="9"/>
      <c r="E406" s="9"/>
    </row>
    <row r="407" spans="3:5">
      <c r="C407" s="9"/>
      <c r="E407" s="9"/>
    </row>
    <row r="408" spans="3:5">
      <c r="C408" s="9"/>
      <c r="E408" s="9"/>
    </row>
    <row r="409" spans="3:5">
      <c r="C409" s="9"/>
      <c r="E409" s="9"/>
    </row>
    <row r="410" spans="3:5">
      <c r="C410" s="9"/>
      <c r="E410" s="9"/>
    </row>
    <row r="411" spans="3:5">
      <c r="C411" s="9"/>
      <c r="E411" s="9"/>
    </row>
    <row r="412" spans="3:5">
      <c r="C412" s="9"/>
      <c r="E412" s="9"/>
    </row>
    <row r="413" spans="3:5">
      <c r="C413" s="9"/>
      <c r="E413" s="9"/>
    </row>
    <row r="414" spans="3:5">
      <c r="C414" s="9"/>
      <c r="E414" s="9"/>
    </row>
    <row r="415" spans="3:5">
      <c r="C415" s="9"/>
      <c r="E415" s="9"/>
    </row>
    <row r="416" spans="3:5">
      <c r="C416" s="9"/>
      <c r="E416" s="9"/>
    </row>
    <row r="417" spans="3:5">
      <c r="C417" s="9"/>
      <c r="E417" s="9"/>
    </row>
    <row r="418" spans="3:5">
      <c r="C418" s="9"/>
      <c r="E418" s="9"/>
    </row>
    <row r="419" spans="3:5">
      <c r="C419" s="9"/>
      <c r="E419" s="9"/>
    </row>
    <row r="420" spans="3:5">
      <c r="C420" s="9"/>
      <c r="E420" s="9"/>
    </row>
    <row r="421" spans="3:5">
      <c r="C421" s="9"/>
      <c r="E421" s="9"/>
    </row>
    <row r="422" spans="3:5">
      <c r="C422" s="9"/>
      <c r="E422" s="9"/>
    </row>
    <row r="423" spans="3:5">
      <c r="C423" s="9"/>
      <c r="E423" s="9"/>
    </row>
    <row r="424" spans="3:5">
      <c r="C424" s="9"/>
      <c r="E424" s="9"/>
    </row>
    <row r="425" spans="3:5">
      <c r="C425" s="9"/>
      <c r="E425" s="9"/>
    </row>
    <row r="426" spans="3:5">
      <c r="C426" s="9"/>
      <c r="E426" s="9"/>
    </row>
    <row r="427" spans="3:5">
      <c r="C427" s="9"/>
      <c r="E427" s="9"/>
    </row>
    <row r="428" spans="3:5">
      <c r="C428" s="9"/>
      <c r="E428" s="9"/>
    </row>
    <row r="429" spans="3:5">
      <c r="C429" s="9"/>
      <c r="E429" s="9"/>
    </row>
    <row r="430" spans="3:5">
      <c r="C430" s="9"/>
      <c r="E430" s="9"/>
    </row>
    <row r="431" spans="3:5">
      <c r="C431" s="9"/>
      <c r="E431" s="9"/>
    </row>
    <row r="432" spans="3:5">
      <c r="C432" s="9"/>
      <c r="E432" s="9"/>
    </row>
    <row r="433" spans="3:5">
      <c r="C433" s="9"/>
      <c r="E433" s="9"/>
    </row>
    <row r="434" spans="3:5">
      <c r="C434" s="9"/>
      <c r="E434" s="9"/>
    </row>
    <row r="435" spans="3:5">
      <c r="C435" s="9"/>
      <c r="E435" s="9"/>
    </row>
    <row r="436" spans="3:5">
      <c r="C436" s="9"/>
      <c r="E436" s="9"/>
    </row>
    <row r="437" spans="3:5">
      <c r="C437" s="9"/>
      <c r="E437" s="9"/>
    </row>
    <row r="438" spans="3:5">
      <c r="C438" s="9"/>
      <c r="E438" s="9"/>
    </row>
    <row r="439" spans="3:5">
      <c r="C439" s="9"/>
      <c r="E439" s="9"/>
    </row>
    <row r="440" spans="3:5">
      <c r="C440" s="9"/>
      <c r="E440" s="9"/>
    </row>
    <row r="441" spans="3:5">
      <c r="C441" s="9"/>
      <c r="E441" s="9"/>
    </row>
    <row r="442" spans="3:5">
      <c r="C442" s="9"/>
      <c r="E442" s="9"/>
    </row>
    <row r="443" spans="3:5">
      <c r="C443" s="9"/>
      <c r="E443" s="9"/>
    </row>
    <row r="444" spans="3:5">
      <c r="C444" s="9"/>
      <c r="E444" s="9"/>
    </row>
    <row r="445" spans="3:5">
      <c r="C445" s="9"/>
      <c r="E445" s="9"/>
    </row>
    <row r="446" spans="3:5">
      <c r="C446" s="9"/>
      <c r="E446" s="9"/>
    </row>
    <row r="447" spans="3:5">
      <c r="C447" s="9"/>
      <c r="E447" s="9"/>
    </row>
    <row r="448" spans="3:5">
      <c r="C448" s="9"/>
      <c r="E448" s="9"/>
    </row>
    <row r="449" spans="3:5">
      <c r="C449" s="9"/>
      <c r="E449" s="9"/>
    </row>
    <row r="450" spans="3:5">
      <c r="C450" s="9"/>
      <c r="E450" s="9"/>
    </row>
    <row r="451" spans="3:5">
      <c r="C451" s="9"/>
      <c r="E451" s="9"/>
    </row>
    <row r="452" spans="3:5">
      <c r="C452" s="9"/>
      <c r="E452" s="9"/>
    </row>
    <row r="453" spans="3:5">
      <c r="C453" s="9"/>
      <c r="E453" s="9"/>
    </row>
    <row r="454" spans="3:5">
      <c r="C454" s="9"/>
      <c r="E454" s="9"/>
    </row>
    <row r="455" spans="3:5">
      <c r="C455" s="9"/>
      <c r="E455" s="9"/>
    </row>
    <row r="456" spans="3:5">
      <c r="C456" s="9"/>
      <c r="E456" s="9"/>
    </row>
    <row r="457" spans="3:5">
      <c r="C457" s="9"/>
      <c r="E457" s="9"/>
    </row>
    <row r="458" spans="3:5">
      <c r="C458" s="9"/>
      <c r="E458" s="9"/>
    </row>
    <row r="459" spans="3:5">
      <c r="C459" s="9"/>
      <c r="E459" s="9"/>
    </row>
    <row r="460" spans="3:5">
      <c r="C460" s="9"/>
      <c r="E460" s="9"/>
    </row>
    <row r="461" spans="3:5">
      <c r="C461" s="9"/>
      <c r="E461" s="9"/>
    </row>
    <row r="462" spans="3:5">
      <c r="C462" s="9"/>
      <c r="E462" s="9"/>
    </row>
    <row r="463" spans="3:5">
      <c r="C463" s="9"/>
      <c r="E463" s="9"/>
    </row>
    <row r="464" spans="3:5">
      <c r="C464" s="9"/>
      <c r="E464" s="9"/>
    </row>
    <row r="465" spans="3:5">
      <c r="C465" s="9"/>
      <c r="E465" s="9"/>
    </row>
    <row r="466" spans="3:5">
      <c r="C466" s="9"/>
      <c r="E466" s="9"/>
    </row>
    <row r="467" spans="3:5">
      <c r="C467" s="9"/>
      <c r="E467" s="9"/>
    </row>
    <row r="468" spans="3:5">
      <c r="C468" s="9"/>
      <c r="E468" s="9"/>
    </row>
    <row r="469" spans="3:5">
      <c r="C469" s="9"/>
      <c r="E469" s="9"/>
    </row>
    <row r="470" spans="3:5">
      <c r="C470" s="9"/>
      <c r="E470" s="9"/>
    </row>
    <row r="471" spans="3:5">
      <c r="C471" s="9"/>
      <c r="E471" s="9"/>
    </row>
    <row r="472" spans="3:5">
      <c r="C472" s="9"/>
      <c r="E472" s="9"/>
    </row>
    <row r="473" spans="3:5">
      <c r="C473" s="9"/>
      <c r="E473" s="9"/>
    </row>
    <row r="474" spans="3:5">
      <c r="C474" s="9"/>
      <c r="E474" s="9"/>
    </row>
    <row r="475" spans="3:5">
      <c r="C475" s="9"/>
      <c r="E475" s="9"/>
    </row>
    <row r="476" spans="3:5">
      <c r="C476" s="9"/>
      <c r="E476" s="9"/>
    </row>
    <row r="477" spans="3:5">
      <c r="C477" s="9"/>
      <c r="E477" s="9"/>
    </row>
    <row r="478" spans="3:5">
      <c r="C478" s="9"/>
      <c r="E478" s="9"/>
    </row>
    <row r="479" spans="3:5">
      <c r="C479" s="9"/>
      <c r="E479" s="9"/>
    </row>
    <row r="480" spans="3:5">
      <c r="C480" s="9"/>
      <c r="E480" s="9"/>
    </row>
    <row r="481" spans="3:5">
      <c r="C481" s="9"/>
      <c r="E481" s="9"/>
    </row>
    <row r="482" spans="3:5">
      <c r="C482" s="9"/>
      <c r="E482" s="9"/>
    </row>
    <row r="483" spans="3:5">
      <c r="C483" s="9"/>
      <c r="E483" s="9"/>
    </row>
    <row r="484" spans="3:5">
      <c r="C484" s="9"/>
      <c r="E484" s="9"/>
    </row>
    <row r="485" spans="3:5">
      <c r="C485" s="9"/>
      <c r="E485" s="9"/>
    </row>
    <row r="486" spans="3:5">
      <c r="C486" s="9"/>
      <c r="E486" s="9"/>
    </row>
    <row r="487" spans="3:5">
      <c r="C487" s="9"/>
      <c r="E487" s="9"/>
    </row>
    <row r="488" spans="3:5">
      <c r="C488" s="9"/>
      <c r="E488" s="9"/>
    </row>
    <row r="489" spans="3:5">
      <c r="C489" s="9"/>
      <c r="E489" s="9"/>
    </row>
    <row r="490" spans="3:5">
      <c r="C490" s="9"/>
      <c r="E490" s="9"/>
    </row>
    <row r="491" spans="3:5">
      <c r="C491" s="9"/>
      <c r="E491" s="9"/>
    </row>
    <row r="492" spans="3:5">
      <c r="C492" s="9"/>
      <c r="E492" s="9"/>
    </row>
    <row r="493" spans="3:5">
      <c r="C493" s="9"/>
      <c r="E493" s="9"/>
    </row>
    <row r="494" spans="3:5">
      <c r="C494" s="9"/>
      <c r="E494" s="9"/>
    </row>
    <row r="495" spans="3:5">
      <c r="C495" s="9"/>
      <c r="E495" s="9"/>
    </row>
    <row r="496" spans="3:5">
      <c r="C496" s="9"/>
      <c r="E496" s="9"/>
    </row>
    <row r="497" spans="3:5">
      <c r="C497" s="9"/>
      <c r="E497" s="9"/>
    </row>
    <row r="498" spans="3:5">
      <c r="C498" s="9"/>
      <c r="E498" s="9"/>
    </row>
    <row r="499" spans="3:5">
      <c r="C499" s="9"/>
      <c r="E499" s="9"/>
    </row>
    <row r="500" spans="3:5">
      <c r="C500" s="9"/>
      <c r="E500" s="9"/>
    </row>
    <row r="501" spans="3:5">
      <c r="C501" s="9"/>
      <c r="E501" s="9"/>
    </row>
    <row r="502" spans="3:5">
      <c r="C502" s="9"/>
      <c r="E502" s="9"/>
    </row>
    <row r="503" spans="3:5">
      <c r="C503" s="9"/>
      <c r="E503" s="9"/>
    </row>
    <row r="504" spans="3:5">
      <c r="C504" s="9"/>
      <c r="E504" s="9"/>
    </row>
    <row r="505" spans="3:5">
      <c r="C505" s="9"/>
      <c r="E505" s="9"/>
    </row>
    <row r="506" spans="3:5">
      <c r="C506" s="9"/>
      <c r="E506" s="9"/>
    </row>
    <row r="507" spans="3:5">
      <c r="C507" s="9"/>
      <c r="E507" s="9"/>
    </row>
    <row r="508" spans="3:5">
      <c r="C508" s="9"/>
      <c r="E508" s="9"/>
    </row>
    <row r="509" spans="3:5">
      <c r="C509" s="9"/>
      <c r="E509" s="9"/>
    </row>
    <row r="510" spans="3:5">
      <c r="C510" s="9"/>
      <c r="E510" s="9"/>
    </row>
    <row r="511" spans="3:5">
      <c r="C511" s="9"/>
      <c r="E511" s="9"/>
    </row>
    <row r="512" spans="3:5">
      <c r="C512" s="9"/>
      <c r="E512" s="9"/>
    </row>
    <row r="513" spans="3:5">
      <c r="C513" s="9"/>
      <c r="E513" s="9"/>
    </row>
    <row r="514" spans="3:5">
      <c r="C514" s="9"/>
      <c r="E514" s="9"/>
    </row>
    <row r="515" spans="3:5">
      <c r="C515" s="9"/>
      <c r="E515" s="9"/>
    </row>
    <row r="516" spans="3:5">
      <c r="C516" s="9"/>
      <c r="E516" s="9"/>
    </row>
    <row r="517" spans="3:5">
      <c r="C517" s="9"/>
      <c r="E517" s="9"/>
    </row>
    <row r="518" spans="3:5">
      <c r="C518" s="9"/>
      <c r="E518" s="9"/>
    </row>
    <row r="519" spans="3:5">
      <c r="C519" s="9"/>
      <c r="E519" s="9"/>
    </row>
    <row r="520" spans="3:5">
      <c r="C520" s="9"/>
      <c r="E520" s="9"/>
    </row>
    <row r="521" spans="3:5">
      <c r="C521" s="9"/>
      <c r="E521" s="9"/>
    </row>
    <row r="522" spans="3:5">
      <c r="C522" s="9"/>
      <c r="E522" s="9"/>
    </row>
    <row r="523" spans="3:5">
      <c r="C523" s="9"/>
      <c r="E523" s="9"/>
    </row>
    <row r="524" spans="3:5">
      <c r="C524" s="9"/>
      <c r="E524" s="9"/>
    </row>
    <row r="525" spans="3:5">
      <c r="C525" s="9"/>
      <c r="E525" s="9"/>
    </row>
    <row r="526" spans="3:5">
      <c r="C526" s="9"/>
      <c r="E526" s="9"/>
    </row>
    <row r="527" spans="3:5">
      <c r="C527" s="9"/>
      <c r="E527" s="9"/>
    </row>
    <row r="528" spans="3:5">
      <c r="C528" s="9"/>
      <c r="E528" s="9"/>
    </row>
    <row r="529" spans="3:5">
      <c r="C529" s="9"/>
      <c r="E529" s="9"/>
    </row>
    <row r="530" spans="3:5">
      <c r="C530" s="9"/>
      <c r="E530" s="9"/>
    </row>
    <row r="531" spans="3:5">
      <c r="C531" s="9"/>
      <c r="E531" s="9"/>
    </row>
    <row r="532" spans="3:5">
      <c r="C532" s="9"/>
      <c r="E532" s="9"/>
    </row>
    <row r="533" spans="3:5">
      <c r="C533" s="9"/>
      <c r="E533" s="9"/>
    </row>
    <row r="534" spans="3:5">
      <c r="C534" s="9"/>
      <c r="E534" s="9"/>
    </row>
    <row r="535" spans="3:5">
      <c r="C535" s="9"/>
      <c r="E535" s="9"/>
    </row>
    <row r="536" spans="3:5">
      <c r="C536" s="9"/>
      <c r="E536" s="9"/>
    </row>
    <row r="537" spans="3:5">
      <c r="C537" s="9"/>
      <c r="E537" s="9"/>
    </row>
    <row r="538" spans="3:5">
      <c r="C538" s="9"/>
      <c r="E538" s="9"/>
    </row>
    <row r="539" spans="3:5">
      <c r="C539" s="9"/>
      <c r="E539" s="9"/>
    </row>
    <row r="540" spans="3:5">
      <c r="C540" s="9"/>
      <c r="E540" s="9"/>
    </row>
    <row r="541" spans="3:5">
      <c r="C541" s="9"/>
      <c r="E541" s="9"/>
    </row>
    <row r="542" spans="3:5">
      <c r="C542" s="9"/>
      <c r="E542" s="9"/>
    </row>
    <row r="543" spans="3:5">
      <c r="C543" s="9"/>
      <c r="E543" s="9"/>
    </row>
    <row r="544" spans="3:5">
      <c r="C544" s="9"/>
      <c r="E544" s="9"/>
    </row>
    <row r="545" spans="3:5">
      <c r="C545" s="9"/>
      <c r="E545" s="9"/>
    </row>
    <row r="546" spans="3:5">
      <c r="C546" s="9"/>
      <c r="E546" s="9"/>
    </row>
    <row r="547" spans="3:5">
      <c r="C547" s="9"/>
      <c r="E547" s="9"/>
    </row>
    <row r="548" spans="3:5">
      <c r="C548" s="9"/>
      <c r="E548" s="9"/>
    </row>
    <row r="549" spans="3:5">
      <c r="C549" s="9"/>
      <c r="E549" s="9"/>
    </row>
    <row r="550" spans="3:5">
      <c r="C550" s="9"/>
      <c r="E550" s="9"/>
    </row>
    <row r="551" spans="3:5">
      <c r="C551" s="9"/>
      <c r="E551" s="9"/>
    </row>
    <row r="552" spans="3:5">
      <c r="C552" s="9"/>
      <c r="E552" s="9"/>
    </row>
    <row r="553" spans="3:5">
      <c r="C553" s="9"/>
      <c r="E553" s="9"/>
    </row>
    <row r="554" spans="3:5">
      <c r="C554" s="9"/>
      <c r="E554" s="9"/>
    </row>
    <row r="555" spans="3:5">
      <c r="C555" s="9"/>
      <c r="E555" s="9"/>
    </row>
    <row r="556" spans="3:5">
      <c r="C556" s="9"/>
      <c r="E556" s="9"/>
    </row>
    <row r="557" spans="3:5">
      <c r="C557" s="9"/>
      <c r="E557" s="9"/>
    </row>
    <row r="558" spans="3:5">
      <c r="C558" s="9"/>
      <c r="E558" s="9"/>
    </row>
    <row r="559" spans="3:5">
      <c r="C559" s="9"/>
      <c r="E559" s="9"/>
    </row>
    <row r="560" spans="3:5">
      <c r="C560" s="9"/>
      <c r="E560" s="9"/>
    </row>
    <row r="561" spans="3:5">
      <c r="C561" s="9"/>
      <c r="E561" s="9"/>
    </row>
    <row r="562" spans="3:5">
      <c r="C562" s="9"/>
      <c r="E562" s="9"/>
    </row>
    <row r="563" spans="3:5">
      <c r="C563" s="9"/>
      <c r="E563" s="9"/>
    </row>
    <row r="564" spans="3:5">
      <c r="C564" s="9"/>
      <c r="E564" s="9"/>
    </row>
    <row r="565" spans="3:5">
      <c r="C565" s="9"/>
      <c r="E565" s="9"/>
    </row>
    <row r="566" spans="3:5">
      <c r="C566" s="9"/>
      <c r="E566" s="9"/>
    </row>
    <row r="567" spans="3:5">
      <c r="C567" s="9"/>
      <c r="E567" s="9"/>
    </row>
    <row r="568" spans="3:5">
      <c r="C568" s="9"/>
      <c r="E568" s="9"/>
    </row>
    <row r="569" spans="3:5">
      <c r="C569" s="9"/>
      <c r="E569" s="9"/>
    </row>
    <row r="570" spans="3:5">
      <c r="C570" s="9"/>
      <c r="E570" s="9"/>
    </row>
    <row r="571" spans="3:5">
      <c r="C571" s="9"/>
      <c r="E571" s="9"/>
    </row>
    <row r="572" spans="3:5">
      <c r="C572" s="9"/>
      <c r="E572" s="9"/>
    </row>
    <row r="573" spans="3:5">
      <c r="C573" s="9"/>
      <c r="E573" s="9"/>
    </row>
    <row r="574" spans="3:5">
      <c r="C574" s="9"/>
      <c r="E574" s="9"/>
    </row>
    <row r="575" spans="3:5">
      <c r="C575" s="9"/>
      <c r="E575" s="9"/>
    </row>
    <row r="576" spans="3:5">
      <c r="C576" s="9"/>
      <c r="E576" s="9"/>
    </row>
    <row r="577" spans="3:5">
      <c r="C577" s="9"/>
      <c r="E577" s="9"/>
    </row>
    <row r="578" spans="3:5">
      <c r="C578" s="9"/>
      <c r="E578" s="9"/>
    </row>
    <row r="579" spans="3:5">
      <c r="C579" s="9"/>
      <c r="E579" s="9"/>
    </row>
    <row r="580" spans="3:5">
      <c r="C580" s="9"/>
      <c r="E580" s="9"/>
    </row>
    <row r="581" spans="3:5">
      <c r="C581" s="9"/>
      <c r="E581" s="9"/>
    </row>
    <row r="582" spans="3:5">
      <c r="C582" s="9"/>
      <c r="E582" s="9"/>
    </row>
    <row r="583" spans="3:5">
      <c r="C583" s="9"/>
      <c r="E583" s="9"/>
    </row>
    <row r="584" spans="3:5">
      <c r="C584" s="9"/>
      <c r="E584" s="9"/>
    </row>
    <row r="585" spans="3:5">
      <c r="C585" s="9"/>
      <c r="E585" s="9"/>
    </row>
    <row r="586" spans="3:5">
      <c r="C586" s="9"/>
      <c r="E586" s="9"/>
    </row>
    <row r="587" spans="3:5">
      <c r="C587" s="9"/>
      <c r="E587" s="9"/>
    </row>
    <row r="588" spans="3:5">
      <c r="C588" s="9"/>
      <c r="E588" s="9"/>
    </row>
    <row r="589" spans="3:5">
      <c r="C589" s="9"/>
      <c r="E589" s="9"/>
    </row>
    <row r="590" spans="3:5">
      <c r="C590" s="9"/>
      <c r="E590" s="9"/>
    </row>
    <row r="591" spans="3:5">
      <c r="C591" s="9"/>
      <c r="E591" s="9"/>
    </row>
    <row r="592" spans="3:5">
      <c r="C592" s="9"/>
      <c r="E592" s="9"/>
    </row>
    <row r="593" spans="3:5">
      <c r="C593" s="9"/>
      <c r="E593" s="9"/>
    </row>
    <row r="594" spans="3:5">
      <c r="C594" s="9"/>
      <c r="E594" s="9"/>
    </row>
    <row r="595" spans="3:5">
      <c r="C595" s="9"/>
      <c r="E595" s="9"/>
    </row>
    <row r="596" spans="3:5">
      <c r="C596" s="9"/>
      <c r="E596" s="9"/>
    </row>
    <row r="597" spans="3:5">
      <c r="C597" s="9"/>
      <c r="E597" s="9"/>
    </row>
    <row r="598" spans="3:5">
      <c r="C598" s="9"/>
      <c r="E598" s="9"/>
    </row>
    <row r="599" spans="3:5">
      <c r="C599" s="9"/>
      <c r="E599" s="9"/>
    </row>
    <row r="600" spans="3:5">
      <c r="C600" s="9"/>
      <c r="E600" s="9"/>
    </row>
    <row r="601" spans="3:5">
      <c r="C601" s="9"/>
      <c r="E601" s="9"/>
    </row>
    <row r="602" spans="3:5">
      <c r="C602" s="9"/>
      <c r="E602" s="9"/>
    </row>
    <row r="603" spans="3:5">
      <c r="C603" s="9"/>
      <c r="E603" s="9"/>
    </row>
    <row r="604" spans="3:5">
      <c r="C604" s="9"/>
      <c r="E604" s="9"/>
    </row>
    <row r="605" spans="3:5">
      <c r="C605" s="9"/>
      <c r="E605" s="9"/>
    </row>
    <row r="606" spans="3:5">
      <c r="C606" s="9"/>
      <c r="E606" s="9"/>
    </row>
    <row r="607" spans="3:5">
      <c r="C607" s="9"/>
      <c r="E607" s="9"/>
    </row>
    <row r="608" spans="3:5">
      <c r="C608" s="9"/>
      <c r="E608" s="9"/>
    </row>
    <row r="609" spans="3:5">
      <c r="C609" s="9"/>
      <c r="E609" s="9"/>
    </row>
    <row r="610" spans="3:5">
      <c r="C610" s="9"/>
      <c r="E610" s="9"/>
    </row>
    <row r="611" spans="3:5">
      <c r="C611" s="9"/>
      <c r="E611" s="9"/>
    </row>
    <row r="612" spans="3:5">
      <c r="C612" s="9"/>
      <c r="E612" s="9"/>
    </row>
    <row r="613" spans="3:5">
      <c r="C613" s="9"/>
      <c r="E613" s="9"/>
    </row>
    <row r="614" spans="3:5">
      <c r="C614" s="9"/>
      <c r="E614" s="9"/>
    </row>
    <row r="615" spans="3:5">
      <c r="C615" s="9"/>
      <c r="E615" s="9"/>
    </row>
    <row r="616" spans="3:5">
      <c r="C616" s="9"/>
      <c r="E616" s="9"/>
    </row>
    <row r="617" spans="3:5">
      <c r="C617" s="9"/>
      <c r="E617" s="9"/>
    </row>
    <row r="618" spans="3:5">
      <c r="C618" s="9"/>
      <c r="E618" s="9"/>
    </row>
    <row r="619" spans="3:5">
      <c r="C619" s="9"/>
      <c r="E619" s="9"/>
    </row>
    <row r="620" spans="3:5">
      <c r="C620" s="9"/>
      <c r="E620" s="9"/>
    </row>
    <row r="621" spans="3:5">
      <c r="C621" s="9"/>
      <c r="E621" s="9"/>
    </row>
    <row r="622" spans="3:5">
      <c r="C622" s="9"/>
      <c r="E622" s="9"/>
    </row>
    <row r="623" spans="3:5">
      <c r="C623" s="9"/>
      <c r="E623" s="9"/>
    </row>
    <row r="624" spans="3:5">
      <c r="C624" s="9"/>
      <c r="E624" s="9"/>
    </row>
    <row r="625" spans="3:5">
      <c r="C625" s="9"/>
      <c r="E625" s="9"/>
    </row>
    <row r="626" spans="3:5">
      <c r="C626" s="9"/>
      <c r="E626" s="9"/>
    </row>
    <row r="627" spans="3:5">
      <c r="C627" s="9"/>
      <c r="E627" s="9"/>
    </row>
    <row r="628" spans="3:5">
      <c r="C628" s="9"/>
      <c r="E628" s="9"/>
    </row>
    <row r="629" spans="3:5">
      <c r="C629" s="9"/>
      <c r="E629" s="9"/>
    </row>
    <row r="630" spans="3:5">
      <c r="C630" s="9"/>
      <c r="E630" s="9"/>
    </row>
    <row r="631" spans="3:5">
      <c r="C631" s="9"/>
      <c r="E631" s="9"/>
    </row>
    <row r="632" spans="3:5">
      <c r="C632" s="9"/>
      <c r="E632" s="9"/>
    </row>
    <row r="633" spans="3:5">
      <c r="C633" s="9"/>
      <c r="E633" s="9"/>
    </row>
    <row r="634" spans="3:5">
      <c r="C634" s="9"/>
      <c r="E634" s="9"/>
    </row>
    <row r="635" spans="3:5">
      <c r="C635" s="9"/>
      <c r="E635" s="9"/>
    </row>
    <row r="636" spans="3:5">
      <c r="C636" s="9"/>
      <c r="E636" s="9"/>
    </row>
    <row r="637" spans="3:5">
      <c r="C637" s="9"/>
      <c r="E637" s="9"/>
    </row>
    <row r="638" spans="3:5">
      <c r="C638" s="9"/>
      <c r="E638" s="9"/>
    </row>
    <row r="639" spans="3:5">
      <c r="C639" s="9"/>
      <c r="E639" s="9"/>
    </row>
    <row r="640" spans="3:5">
      <c r="C640" s="9"/>
      <c r="E640" s="9"/>
    </row>
    <row r="641" spans="3:5">
      <c r="C641" s="9"/>
      <c r="E641" s="9"/>
    </row>
    <row r="642" spans="3:5">
      <c r="C642" s="9"/>
      <c r="E642" s="9"/>
    </row>
    <row r="643" spans="3:5">
      <c r="C643" s="9"/>
      <c r="E643" s="9"/>
    </row>
    <row r="644" spans="3:5">
      <c r="C644" s="9"/>
      <c r="E644" s="9"/>
    </row>
    <row r="645" spans="3:5">
      <c r="C645" s="9"/>
      <c r="E645" s="9"/>
    </row>
    <row r="646" spans="3:5">
      <c r="C646" s="9"/>
      <c r="E646" s="9"/>
    </row>
    <row r="647" spans="3:5">
      <c r="C647" s="9"/>
      <c r="E647" s="9"/>
    </row>
    <row r="648" spans="3:5">
      <c r="C648" s="9"/>
      <c r="E648" s="9"/>
    </row>
    <row r="649" spans="3:5">
      <c r="C649" s="9"/>
      <c r="E649" s="9"/>
    </row>
    <row r="650" spans="3:5">
      <c r="C650" s="9"/>
      <c r="E650" s="9"/>
    </row>
    <row r="651" spans="3:5">
      <c r="C651" s="9"/>
      <c r="E651" s="9"/>
    </row>
    <row r="652" spans="3:5">
      <c r="C652" s="9"/>
      <c r="E652" s="9"/>
    </row>
    <row r="653" spans="3:5">
      <c r="C653" s="9"/>
      <c r="E653" s="9"/>
    </row>
    <row r="654" spans="3:5">
      <c r="C654" s="9"/>
      <c r="E654" s="9"/>
    </row>
    <row r="655" spans="3:5">
      <c r="C655" s="9"/>
      <c r="E655" s="9"/>
    </row>
    <row r="656" spans="3:5">
      <c r="C656" s="9"/>
      <c r="E656" s="9"/>
    </row>
    <row r="657" spans="3:5">
      <c r="C657" s="9"/>
      <c r="E657" s="9"/>
    </row>
    <row r="658" spans="3:5">
      <c r="C658" s="9"/>
      <c r="E658" s="9"/>
    </row>
    <row r="659" spans="3:5">
      <c r="C659" s="9"/>
      <c r="E659" s="9"/>
    </row>
    <row r="660" spans="3:5">
      <c r="C660" s="9"/>
      <c r="E660" s="9"/>
    </row>
    <row r="661" spans="3:5">
      <c r="C661" s="9"/>
      <c r="E661" s="9"/>
    </row>
    <row r="662" spans="3:5">
      <c r="C662" s="9"/>
      <c r="E662" s="9"/>
    </row>
    <row r="663" spans="3:5">
      <c r="C663" s="9"/>
      <c r="E663" s="9"/>
    </row>
    <row r="664" spans="3:5">
      <c r="C664" s="9"/>
      <c r="E664" s="9"/>
    </row>
    <row r="665" spans="3:5">
      <c r="C665" s="9"/>
      <c r="E665" s="9"/>
    </row>
    <row r="666" spans="3:5">
      <c r="C666" s="9"/>
      <c r="E666" s="9"/>
    </row>
    <row r="667" spans="3:5">
      <c r="C667" s="9"/>
      <c r="E667" s="9"/>
    </row>
    <row r="668" spans="3:5">
      <c r="C668" s="9"/>
      <c r="E668" s="9"/>
    </row>
    <row r="669" spans="3:5">
      <c r="C669" s="9"/>
      <c r="E669" s="9"/>
    </row>
    <row r="670" spans="3:5">
      <c r="C670" s="9"/>
      <c r="E670" s="9"/>
    </row>
    <row r="671" spans="3:5">
      <c r="C671" s="9"/>
      <c r="E671" s="9"/>
    </row>
    <row r="672" spans="3:5">
      <c r="C672" s="9"/>
      <c r="E672" s="9"/>
    </row>
    <row r="673" spans="3:5">
      <c r="C673" s="9"/>
      <c r="E673" s="9"/>
    </row>
    <row r="674" spans="3:5">
      <c r="C674" s="9"/>
      <c r="E674" s="9"/>
    </row>
    <row r="675" spans="3:5">
      <c r="C675" s="9"/>
      <c r="E675" s="9"/>
    </row>
    <row r="676" spans="3:5">
      <c r="C676" s="9"/>
      <c r="E676" s="9"/>
    </row>
    <row r="677" spans="3:5">
      <c r="C677" s="9"/>
      <c r="E677" s="9"/>
    </row>
    <row r="678" spans="3:5">
      <c r="C678" s="9"/>
      <c r="E678" s="9"/>
    </row>
    <row r="679" spans="3:5">
      <c r="C679" s="9"/>
      <c r="E679" s="9"/>
    </row>
    <row r="680" spans="3:5">
      <c r="C680" s="9"/>
      <c r="E680" s="9"/>
    </row>
    <row r="681" spans="3:5">
      <c r="C681" s="9"/>
      <c r="E681" s="9"/>
    </row>
    <row r="682" spans="3:5">
      <c r="C682" s="9"/>
      <c r="E682" s="9"/>
    </row>
    <row r="683" spans="3:5">
      <c r="C683" s="9"/>
      <c r="E683" s="9"/>
    </row>
    <row r="684" spans="3:5">
      <c r="C684" s="9"/>
      <c r="E684" s="9"/>
    </row>
    <row r="685" spans="3:5">
      <c r="C685" s="9"/>
      <c r="E685" s="9"/>
    </row>
    <row r="686" spans="3:5">
      <c r="C686" s="9"/>
      <c r="E686" s="9"/>
    </row>
    <row r="687" spans="3:5">
      <c r="C687" s="9"/>
      <c r="E687" s="9"/>
    </row>
    <row r="688" spans="3:5">
      <c r="C688" s="9"/>
      <c r="E688" s="9"/>
    </row>
    <row r="689" spans="3:5">
      <c r="C689" s="9"/>
      <c r="E689" s="9"/>
    </row>
    <row r="690" spans="3:5">
      <c r="C690" s="9"/>
      <c r="E690" s="9"/>
    </row>
    <row r="691" spans="3:5">
      <c r="C691" s="9"/>
      <c r="E691" s="9"/>
    </row>
    <row r="692" spans="3:5">
      <c r="C692" s="9"/>
      <c r="E692" s="9"/>
    </row>
    <row r="693" spans="3:5">
      <c r="C693" s="9"/>
      <c r="E693" s="9"/>
    </row>
    <row r="694" spans="3:5">
      <c r="C694" s="9"/>
      <c r="E694" s="9"/>
    </row>
    <row r="695" spans="3:5">
      <c r="C695" s="9"/>
      <c r="E695" s="9"/>
    </row>
    <row r="696" spans="3:5">
      <c r="C696" s="9"/>
      <c r="E696" s="9"/>
    </row>
    <row r="697" spans="3:5">
      <c r="C697" s="9"/>
      <c r="E697" s="9"/>
    </row>
    <row r="698" spans="3:5">
      <c r="C698" s="9"/>
      <c r="E698" s="9"/>
    </row>
    <row r="699" spans="3:5">
      <c r="C699" s="9"/>
      <c r="E699" s="9"/>
    </row>
    <row r="700" spans="3:5">
      <c r="C700" s="9"/>
      <c r="E700" s="9"/>
    </row>
    <row r="701" spans="3:5">
      <c r="C701" s="9"/>
      <c r="E701" s="9"/>
    </row>
    <row r="702" spans="3:5">
      <c r="C702" s="9"/>
      <c r="E702" s="9"/>
    </row>
    <row r="703" spans="3:5">
      <c r="C703" s="9"/>
      <c r="E703" s="9"/>
    </row>
    <row r="704" spans="3:5">
      <c r="C704" s="9"/>
      <c r="E704" s="9"/>
    </row>
    <row r="705" spans="3:5">
      <c r="C705" s="9"/>
      <c r="E705" s="9"/>
    </row>
    <row r="706" spans="3:5">
      <c r="C706" s="9"/>
      <c r="E706" s="9"/>
    </row>
    <row r="707" spans="3:5">
      <c r="C707" s="9"/>
      <c r="E707" s="9"/>
    </row>
    <row r="708" spans="3:5">
      <c r="C708" s="9"/>
      <c r="E708" s="9"/>
    </row>
    <row r="709" spans="3:5">
      <c r="C709" s="9"/>
      <c r="E709" s="9"/>
    </row>
    <row r="710" spans="3:5">
      <c r="C710" s="9"/>
      <c r="E710" s="9"/>
    </row>
    <row r="711" spans="3:5">
      <c r="C711" s="9"/>
      <c r="E711" s="9"/>
    </row>
    <row r="712" spans="3:5">
      <c r="C712" s="9"/>
      <c r="E712" s="9"/>
    </row>
    <row r="713" spans="3:5">
      <c r="C713" s="9"/>
      <c r="E713" s="9"/>
    </row>
    <row r="714" spans="3:5">
      <c r="C714" s="9"/>
      <c r="E714" s="9"/>
    </row>
    <row r="715" spans="3:5">
      <c r="C715" s="9"/>
      <c r="E715" s="9"/>
    </row>
    <row r="716" spans="3:5">
      <c r="C716" s="9"/>
      <c r="E716" s="9"/>
    </row>
    <row r="717" spans="3:5">
      <c r="C717" s="9"/>
      <c r="E717" s="9"/>
    </row>
    <row r="718" spans="3:5">
      <c r="C718" s="9"/>
      <c r="E718" s="9"/>
    </row>
    <row r="719" spans="3:5">
      <c r="C719" s="9"/>
      <c r="E719" s="9"/>
    </row>
    <row r="720" spans="3:5">
      <c r="C720" s="9"/>
      <c r="E720" s="9"/>
    </row>
    <row r="721" spans="3:5">
      <c r="C721" s="9"/>
      <c r="E721" s="9"/>
    </row>
    <row r="722" spans="3:5">
      <c r="C722" s="9"/>
      <c r="E722" s="9"/>
    </row>
    <row r="723" spans="3:5">
      <c r="C723" s="9"/>
      <c r="E723" s="9"/>
    </row>
    <row r="724" spans="3:5">
      <c r="C724" s="9"/>
      <c r="E724" s="9"/>
    </row>
    <row r="725" spans="3:5">
      <c r="C725" s="9"/>
      <c r="E725" s="9"/>
    </row>
    <row r="726" spans="3:5">
      <c r="C726" s="9"/>
      <c r="E726" s="9"/>
    </row>
    <row r="727" spans="3:5">
      <c r="C727" s="9"/>
      <c r="E727" s="9"/>
    </row>
    <row r="728" spans="3:5">
      <c r="C728" s="9"/>
      <c r="E728" s="9"/>
    </row>
    <row r="729" spans="3:5">
      <c r="C729" s="9"/>
      <c r="E729" s="9"/>
    </row>
    <row r="730" spans="3:5">
      <c r="C730" s="9"/>
      <c r="E730" s="9"/>
    </row>
    <row r="731" spans="3:5">
      <c r="C731" s="9"/>
      <c r="E731" s="9"/>
    </row>
    <row r="732" spans="3:5">
      <c r="C732" s="9"/>
      <c r="E732" s="9"/>
    </row>
    <row r="733" spans="3:5">
      <c r="C733" s="9"/>
      <c r="E733" s="9"/>
    </row>
    <row r="734" spans="3:5">
      <c r="C734" s="9"/>
      <c r="E734" s="9"/>
    </row>
    <row r="735" spans="3:5">
      <c r="C735" s="9"/>
      <c r="E735" s="9"/>
    </row>
    <row r="736" spans="3:5">
      <c r="C736" s="9"/>
      <c r="E736" s="9"/>
    </row>
    <row r="737" spans="3:5">
      <c r="C737" s="9"/>
      <c r="E737" s="9"/>
    </row>
    <row r="738" spans="3:5">
      <c r="C738" s="9"/>
      <c r="E738" s="9"/>
    </row>
    <row r="739" spans="3:5">
      <c r="C739" s="9"/>
      <c r="E739" s="9"/>
    </row>
    <row r="740" spans="3:5">
      <c r="C740" s="9"/>
      <c r="E740" s="9"/>
    </row>
    <row r="741" spans="3:5">
      <c r="C741" s="9"/>
      <c r="E741" s="9"/>
    </row>
    <row r="742" spans="3:5">
      <c r="C742" s="9"/>
      <c r="E742" s="9"/>
    </row>
    <row r="743" spans="3:5">
      <c r="C743" s="9"/>
      <c r="E743" s="9"/>
    </row>
    <row r="744" spans="3:5">
      <c r="C744" s="9"/>
      <c r="E744" s="9"/>
    </row>
    <row r="745" spans="3:5">
      <c r="C745" s="9"/>
      <c r="E745" s="9"/>
    </row>
    <row r="746" spans="3:5">
      <c r="C746" s="9"/>
      <c r="E746" s="9"/>
    </row>
    <row r="747" spans="3:5">
      <c r="C747" s="9"/>
      <c r="E747" s="9"/>
    </row>
    <row r="748" spans="3:5">
      <c r="C748" s="9"/>
      <c r="E748" s="9"/>
    </row>
    <row r="749" spans="3:5">
      <c r="C749" s="9"/>
      <c r="E749" s="9"/>
    </row>
    <row r="750" spans="3:5">
      <c r="C750" s="9"/>
      <c r="E750" s="9"/>
    </row>
    <row r="751" spans="3:5">
      <c r="C751" s="9"/>
      <c r="E751" s="9"/>
    </row>
    <row r="752" spans="3:5">
      <c r="C752" s="9"/>
      <c r="E752" s="9"/>
    </row>
    <row r="753" spans="3:5">
      <c r="C753" s="9"/>
      <c r="E753" s="9"/>
    </row>
    <row r="754" spans="3:5">
      <c r="C754" s="9"/>
      <c r="E754" s="9"/>
    </row>
    <row r="755" spans="3:5">
      <c r="C755" s="9"/>
      <c r="E755" s="9"/>
    </row>
    <row r="756" spans="3:5">
      <c r="C756" s="9"/>
      <c r="E756" s="9"/>
    </row>
    <row r="757" spans="3:5">
      <c r="C757" s="9"/>
      <c r="E757" s="9"/>
    </row>
    <row r="758" spans="3:5">
      <c r="C758" s="9"/>
      <c r="E758" s="9"/>
    </row>
    <row r="759" spans="3:5">
      <c r="C759" s="9"/>
      <c r="E759" s="9"/>
    </row>
    <row r="760" spans="3:5">
      <c r="C760" s="9"/>
      <c r="E760" s="9"/>
    </row>
    <row r="761" spans="3:5">
      <c r="C761" s="9"/>
      <c r="E761" s="9"/>
    </row>
    <row r="762" spans="3:5">
      <c r="C762" s="9"/>
      <c r="E762" s="9"/>
    </row>
    <row r="763" spans="3:5">
      <c r="C763" s="9"/>
      <c r="E763" s="9"/>
    </row>
    <row r="764" spans="3:5">
      <c r="C764" s="9"/>
      <c r="E764" s="9"/>
    </row>
    <row r="765" spans="3:5">
      <c r="C765" s="9"/>
      <c r="E765" s="9"/>
    </row>
    <row r="766" spans="3:5">
      <c r="C766" s="9"/>
      <c r="E766" s="9"/>
    </row>
    <row r="767" spans="3:5">
      <c r="C767" s="9"/>
      <c r="E767" s="9"/>
    </row>
    <row r="768" spans="3:5">
      <c r="C768" s="9"/>
      <c r="E768" s="9"/>
    </row>
    <row r="769" spans="3:5">
      <c r="C769" s="9"/>
      <c r="E769" s="9"/>
    </row>
    <row r="770" spans="3:5">
      <c r="C770" s="9"/>
      <c r="E770" s="9"/>
    </row>
    <row r="771" spans="3:5">
      <c r="C771" s="9"/>
      <c r="E771" s="9"/>
    </row>
    <row r="772" spans="3:5">
      <c r="C772" s="9"/>
      <c r="E772" s="9"/>
    </row>
    <row r="773" spans="3:5">
      <c r="C773" s="9"/>
      <c r="E773" s="9"/>
    </row>
    <row r="774" spans="3:5">
      <c r="C774" s="9"/>
      <c r="E774" s="9"/>
    </row>
    <row r="775" spans="3:5">
      <c r="C775" s="9"/>
      <c r="E775" s="9"/>
    </row>
    <row r="776" spans="3:5">
      <c r="C776" s="9"/>
      <c r="E776" s="9"/>
    </row>
    <row r="777" spans="3:5">
      <c r="C777" s="9"/>
      <c r="E777" s="9"/>
    </row>
    <row r="778" spans="3:5">
      <c r="C778" s="9"/>
      <c r="E778" s="9"/>
    </row>
    <row r="779" spans="3:5">
      <c r="C779" s="9"/>
      <c r="E779" s="9"/>
    </row>
    <row r="780" spans="3:5">
      <c r="C780" s="9"/>
      <c r="E780" s="9"/>
    </row>
    <row r="781" spans="3:5">
      <c r="C781" s="9"/>
      <c r="E781" s="9"/>
    </row>
    <row r="782" spans="3:5">
      <c r="C782" s="9"/>
      <c r="E782" s="9"/>
    </row>
    <row r="783" spans="3:5">
      <c r="C783" s="9"/>
      <c r="E783" s="9"/>
    </row>
    <row r="784" spans="3:5">
      <c r="C784" s="9"/>
      <c r="E784" s="9"/>
    </row>
    <row r="785" spans="3:5">
      <c r="C785" s="9"/>
      <c r="E785" s="9"/>
    </row>
    <row r="786" spans="3:5">
      <c r="C786" s="9"/>
      <c r="E786" s="9"/>
    </row>
    <row r="787" spans="3:5">
      <c r="C787" s="9"/>
      <c r="E787" s="9"/>
    </row>
    <row r="788" spans="3:5">
      <c r="C788" s="9"/>
      <c r="E788" s="9"/>
    </row>
    <row r="789" spans="3:5">
      <c r="C789" s="9"/>
      <c r="E789" s="9"/>
    </row>
    <row r="790" spans="3:5">
      <c r="C790" s="9"/>
      <c r="E790" s="9"/>
    </row>
    <row r="791" spans="3:5">
      <c r="C791" s="9"/>
      <c r="E791" s="9"/>
    </row>
    <row r="792" spans="3:5">
      <c r="C792" s="9"/>
      <c r="E792" s="9"/>
    </row>
    <row r="793" spans="3:5">
      <c r="C793" s="9"/>
      <c r="E793" s="9"/>
    </row>
    <row r="794" spans="3:5">
      <c r="C794" s="9"/>
      <c r="E794" s="9"/>
    </row>
    <row r="795" spans="3:5">
      <c r="C795" s="9"/>
      <c r="E795" s="9"/>
    </row>
    <row r="796" spans="3:5">
      <c r="C796" s="9"/>
      <c r="E796" s="9"/>
    </row>
    <row r="797" spans="3:5">
      <c r="C797" s="9"/>
      <c r="E797" s="9"/>
    </row>
    <row r="798" spans="3:5">
      <c r="C798" s="9"/>
      <c r="E798" s="9"/>
    </row>
    <row r="799" spans="3:5">
      <c r="C799" s="9"/>
      <c r="E799" s="9"/>
    </row>
    <row r="800" spans="3:5">
      <c r="C800" s="9"/>
      <c r="E800" s="9"/>
    </row>
    <row r="801" spans="3:5">
      <c r="C801" s="9"/>
      <c r="E801" s="9"/>
    </row>
    <row r="802" spans="3:5">
      <c r="C802" s="9"/>
      <c r="E802" s="9"/>
    </row>
    <row r="803" spans="3:5">
      <c r="C803" s="9"/>
      <c r="E803" s="9"/>
    </row>
    <row r="804" spans="3:5">
      <c r="C804" s="9"/>
      <c r="E804" s="9"/>
    </row>
    <row r="805" spans="3:5">
      <c r="C805" s="9"/>
      <c r="E805" s="9"/>
    </row>
    <row r="806" spans="3:5">
      <c r="C806" s="9"/>
      <c r="E806" s="9"/>
    </row>
    <row r="807" spans="3:5">
      <c r="C807" s="9"/>
      <c r="E807" s="9"/>
    </row>
    <row r="808" spans="3:5">
      <c r="C808" s="9"/>
      <c r="E808" s="9"/>
    </row>
    <row r="809" spans="3:5">
      <c r="C809" s="9"/>
      <c r="E809" s="9"/>
    </row>
    <row r="810" spans="3:5">
      <c r="C810" s="9"/>
      <c r="E810" s="9"/>
    </row>
    <row r="811" spans="3:5">
      <c r="C811" s="9"/>
      <c r="E811" s="9"/>
    </row>
    <row r="812" spans="3:5">
      <c r="C812" s="9"/>
      <c r="E812" s="9"/>
    </row>
    <row r="813" spans="3:5">
      <c r="C813" s="9"/>
      <c r="E813" s="9"/>
    </row>
    <row r="814" spans="3:5">
      <c r="C814" s="9"/>
      <c r="E814" s="9"/>
    </row>
    <row r="815" spans="3:5">
      <c r="C815" s="9"/>
      <c r="E815" s="9"/>
    </row>
    <row r="816" spans="3:5">
      <c r="C816" s="9"/>
      <c r="E816" s="9"/>
    </row>
    <row r="817" spans="3:5">
      <c r="C817" s="9"/>
      <c r="E817" s="9"/>
    </row>
    <row r="818" spans="3:5">
      <c r="C818" s="9"/>
      <c r="E818" s="9"/>
    </row>
    <row r="819" spans="3:5">
      <c r="C819" s="9"/>
      <c r="E819" s="9"/>
    </row>
    <row r="820" spans="3:5">
      <c r="C820" s="9"/>
      <c r="E820" s="9"/>
    </row>
    <row r="821" spans="3:5">
      <c r="C821" s="9"/>
      <c r="E821" s="9"/>
    </row>
    <row r="822" spans="3:5">
      <c r="C822" s="9"/>
      <c r="E822" s="9"/>
    </row>
    <row r="823" spans="3:5">
      <c r="C823" s="9"/>
      <c r="E823" s="9"/>
    </row>
    <row r="824" spans="3:5">
      <c r="C824" s="9"/>
      <c r="E824" s="9"/>
    </row>
    <row r="825" spans="3:5">
      <c r="C825" s="9"/>
      <c r="E825" s="9"/>
    </row>
    <row r="826" spans="3:5">
      <c r="C826" s="9"/>
      <c r="E826" s="9"/>
    </row>
    <row r="827" spans="3:5">
      <c r="C827" s="9"/>
      <c r="E827" s="9"/>
    </row>
    <row r="828" spans="3:5">
      <c r="C828" s="9"/>
      <c r="E828" s="9"/>
    </row>
    <row r="829" spans="3:5">
      <c r="C829" s="9"/>
      <c r="E829" s="9"/>
    </row>
    <row r="830" spans="3:5">
      <c r="C830" s="9"/>
      <c r="E830" s="9"/>
    </row>
    <row r="831" spans="3:5">
      <c r="C831" s="9"/>
      <c r="E831" s="9"/>
    </row>
    <row r="832" spans="3:5">
      <c r="C832" s="9"/>
      <c r="E832" s="9"/>
    </row>
    <row r="833" spans="3:5">
      <c r="C833" s="9"/>
      <c r="E833" s="9"/>
    </row>
    <row r="834" spans="3:5">
      <c r="C834" s="9"/>
      <c r="E834" s="9"/>
    </row>
    <row r="835" spans="3:5">
      <c r="C835" s="9"/>
      <c r="E835" s="9"/>
    </row>
    <row r="836" spans="3:5">
      <c r="C836" s="9"/>
      <c r="E836" s="9"/>
    </row>
    <row r="837" spans="3:5">
      <c r="C837" s="9"/>
      <c r="E837" s="9"/>
    </row>
    <row r="838" spans="3:5">
      <c r="C838" s="9"/>
      <c r="E838" s="9"/>
    </row>
    <row r="839" spans="3:5">
      <c r="C839" s="9"/>
      <c r="E839" s="9"/>
    </row>
    <row r="840" spans="3:5">
      <c r="C840" s="9"/>
      <c r="E840" s="9"/>
    </row>
    <row r="841" spans="3:5">
      <c r="C841" s="9"/>
      <c r="E841" s="9"/>
    </row>
    <row r="842" spans="3:5">
      <c r="C842" s="9"/>
      <c r="E842" s="9"/>
    </row>
    <row r="843" spans="3:5">
      <c r="C843" s="9"/>
      <c r="E843" s="9"/>
    </row>
    <row r="844" spans="3:5">
      <c r="C844" s="9"/>
      <c r="E844" s="9"/>
    </row>
    <row r="845" spans="3:5">
      <c r="C845" s="9"/>
      <c r="E845" s="9"/>
    </row>
    <row r="846" spans="3:5">
      <c r="C846" s="9"/>
      <c r="E846" s="9"/>
    </row>
    <row r="847" spans="3:5">
      <c r="C847" s="9"/>
      <c r="E847" s="9"/>
    </row>
    <row r="848" spans="3:5">
      <c r="C848" s="9"/>
      <c r="E848" s="9"/>
    </row>
    <row r="849" spans="3:5">
      <c r="C849" s="9"/>
      <c r="E849" s="9"/>
    </row>
    <row r="850" spans="3:5">
      <c r="C850" s="9"/>
      <c r="E850" s="9"/>
    </row>
    <row r="851" spans="3:5">
      <c r="C851" s="9"/>
      <c r="E851" s="9"/>
    </row>
    <row r="852" spans="3:5">
      <c r="C852" s="9"/>
      <c r="E852" s="9"/>
    </row>
    <row r="853" spans="3:5">
      <c r="C853" s="9"/>
      <c r="E853" s="9"/>
    </row>
    <row r="854" spans="3:5">
      <c r="C854" s="9"/>
      <c r="E854" s="9"/>
    </row>
    <row r="855" spans="3:5">
      <c r="C855" s="9"/>
      <c r="E855" s="9"/>
    </row>
    <row r="856" spans="3:5">
      <c r="C856" s="9"/>
      <c r="E856" s="9"/>
    </row>
    <row r="857" spans="3:5">
      <c r="C857" s="9"/>
      <c r="E857" s="9"/>
    </row>
    <row r="858" spans="3:5">
      <c r="C858" s="9"/>
      <c r="E858" s="9"/>
    </row>
    <row r="859" spans="3:5">
      <c r="C859" s="9"/>
      <c r="E859" s="9"/>
    </row>
    <row r="860" spans="3:5">
      <c r="C860" s="9"/>
      <c r="E860" s="9"/>
    </row>
    <row r="861" spans="3:5">
      <c r="C861" s="9"/>
      <c r="E861" s="9"/>
    </row>
    <row r="862" spans="3:5">
      <c r="C862" s="9"/>
      <c r="E862" s="9"/>
    </row>
    <row r="863" spans="3:5">
      <c r="C863" s="9"/>
      <c r="E863" s="9"/>
    </row>
    <row r="864" spans="3:5">
      <c r="C864" s="9"/>
      <c r="E864" s="9"/>
    </row>
    <row r="865" spans="3:5">
      <c r="C865" s="9"/>
      <c r="E865" s="9"/>
    </row>
    <row r="866" spans="3:5">
      <c r="C866" s="9"/>
      <c r="E866" s="9"/>
    </row>
    <row r="867" spans="3:5">
      <c r="C867" s="9"/>
      <c r="E867" s="9"/>
    </row>
    <row r="868" spans="3:5">
      <c r="C868" s="9"/>
      <c r="E868" s="9"/>
    </row>
    <row r="869" spans="3:5">
      <c r="C869" s="9"/>
      <c r="E869" s="9"/>
    </row>
    <row r="870" spans="3:5">
      <c r="C870" s="9"/>
      <c r="E870" s="9"/>
    </row>
    <row r="871" spans="3:5">
      <c r="C871" s="9"/>
      <c r="E871" s="9"/>
    </row>
    <row r="872" spans="3:5">
      <c r="C872" s="9"/>
      <c r="E872" s="9"/>
    </row>
    <row r="873" spans="3:5">
      <c r="C873" s="9"/>
      <c r="E873" s="9"/>
    </row>
    <row r="874" spans="3:5">
      <c r="C874" s="9"/>
      <c r="E874" s="9"/>
    </row>
    <row r="875" spans="3:5">
      <c r="C875" s="9"/>
      <c r="E875" s="9"/>
    </row>
    <row r="876" spans="3:5">
      <c r="C876" s="9"/>
      <c r="E876" s="9"/>
    </row>
    <row r="877" spans="3:5">
      <c r="C877" s="9"/>
      <c r="E877" s="9"/>
    </row>
    <row r="878" spans="3:5">
      <c r="C878" s="9"/>
      <c r="E878" s="9"/>
    </row>
    <row r="879" spans="3:5">
      <c r="C879" s="9"/>
      <c r="E879" s="9"/>
    </row>
    <row r="880" spans="3:5">
      <c r="C880" s="9"/>
      <c r="E880" s="9"/>
    </row>
    <row r="881" spans="3:5">
      <c r="C881" s="9"/>
      <c r="E881" s="9"/>
    </row>
    <row r="882" spans="3:5">
      <c r="C882" s="9"/>
      <c r="E882" s="9"/>
    </row>
    <row r="883" spans="3:5">
      <c r="C883" s="9"/>
      <c r="E883" s="9"/>
    </row>
    <row r="884" spans="3:5">
      <c r="C884" s="9"/>
      <c r="E884" s="9"/>
    </row>
    <row r="885" spans="3:5">
      <c r="C885" s="9"/>
      <c r="E885" s="9"/>
    </row>
    <row r="886" spans="3:5">
      <c r="C886" s="9"/>
      <c r="E886" s="9"/>
    </row>
    <row r="887" spans="3:5">
      <c r="C887" s="9"/>
      <c r="E887" s="9"/>
    </row>
    <row r="888" spans="3:5">
      <c r="C888" s="9"/>
      <c r="E888" s="9"/>
    </row>
    <row r="889" spans="3:5">
      <c r="C889" s="9"/>
      <c r="E889" s="9"/>
    </row>
    <row r="890" spans="3:5">
      <c r="C890" s="9"/>
      <c r="E890" s="9"/>
    </row>
    <row r="891" spans="3:5">
      <c r="C891" s="9"/>
      <c r="E891" s="9"/>
    </row>
    <row r="892" spans="3:5">
      <c r="C892" s="9"/>
      <c r="E892" s="9"/>
    </row>
    <row r="893" spans="3:5">
      <c r="C893" s="9"/>
      <c r="E893" s="9"/>
    </row>
    <row r="894" spans="3:5">
      <c r="C894" s="9"/>
      <c r="E894" s="9"/>
    </row>
    <row r="895" spans="3:5">
      <c r="C895" s="9"/>
      <c r="E895" s="9"/>
    </row>
    <row r="896" spans="3:5">
      <c r="C896" s="9"/>
      <c r="E896" s="9"/>
    </row>
    <row r="897" spans="3:5">
      <c r="C897" s="9"/>
      <c r="E897" s="9"/>
    </row>
    <row r="898" spans="3:5">
      <c r="C898" s="9"/>
      <c r="E898" s="9"/>
    </row>
    <row r="899" spans="3:5">
      <c r="C899" s="9"/>
      <c r="E899" s="9"/>
    </row>
    <row r="900" spans="3:5">
      <c r="C900" s="9"/>
      <c r="E900" s="9"/>
    </row>
    <row r="901" spans="3:5">
      <c r="C901" s="9"/>
      <c r="E901" s="9"/>
    </row>
    <row r="902" spans="3:5">
      <c r="C902" s="9"/>
      <c r="E902" s="9"/>
    </row>
    <row r="903" spans="3:5">
      <c r="C903" s="9"/>
      <c r="E903" s="9"/>
    </row>
    <row r="904" spans="3:5">
      <c r="C904" s="9"/>
      <c r="E904" s="9"/>
    </row>
    <row r="905" spans="3:5">
      <c r="C905" s="9"/>
      <c r="E905" s="9"/>
    </row>
    <row r="906" spans="3:5">
      <c r="C906" s="9"/>
      <c r="E906" s="9"/>
    </row>
    <row r="907" spans="3:5">
      <c r="C907" s="9"/>
      <c r="E907" s="9"/>
    </row>
    <row r="908" spans="3:5">
      <c r="C908" s="9"/>
      <c r="E908" s="9"/>
    </row>
    <row r="909" spans="3:5">
      <c r="C909" s="9"/>
      <c r="E909" s="9"/>
    </row>
    <row r="910" spans="3:5">
      <c r="C910" s="9"/>
      <c r="E910" s="9"/>
    </row>
    <row r="911" spans="3:5">
      <c r="C911" s="9"/>
      <c r="E911" s="9"/>
    </row>
    <row r="912" spans="3:5">
      <c r="C912" s="9"/>
      <c r="E912" s="9"/>
    </row>
    <row r="913" spans="3:5">
      <c r="C913" s="9"/>
      <c r="E913" s="9"/>
    </row>
    <row r="914" spans="3:5">
      <c r="C914" s="9"/>
      <c r="E914" s="9"/>
    </row>
    <row r="915" spans="3:5">
      <c r="C915" s="9"/>
      <c r="E915" s="9"/>
    </row>
    <row r="916" spans="3:5">
      <c r="C916" s="9"/>
      <c r="E916" s="9"/>
    </row>
    <row r="917" spans="3:5">
      <c r="C917" s="9"/>
      <c r="E917" s="9"/>
    </row>
    <row r="918" spans="3:5">
      <c r="C918" s="9"/>
      <c r="E918" s="9"/>
    </row>
    <row r="919" spans="3:5">
      <c r="C919" s="9"/>
      <c r="E919" s="9"/>
    </row>
    <row r="920" spans="3:5">
      <c r="C920" s="9"/>
      <c r="E920" s="9"/>
    </row>
    <row r="921" spans="3:5">
      <c r="C921" s="9"/>
      <c r="E921" s="9"/>
    </row>
    <row r="922" spans="3:5">
      <c r="C922" s="9"/>
      <c r="E922" s="9"/>
    </row>
    <row r="923" spans="3:5">
      <c r="C923" s="9"/>
      <c r="E923" s="9"/>
    </row>
    <row r="924" spans="3:5">
      <c r="C924" s="9"/>
      <c r="E924" s="9"/>
    </row>
    <row r="925" spans="3:5">
      <c r="C925" s="9"/>
      <c r="E925" s="9"/>
    </row>
    <row r="926" spans="3:5">
      <c r="C926" s="9"/>
      <c r="E926" s="9"/>
    </row>
    <row r="927" spans="3:5">
      <c r="C927" s="9"/>
      <c r="E927" s="9"/>
    </row>
    <row r="928" spans="3:5">
      <c r="C928" s="9"/>
      <c r="E928" s="9"/>
    </row>
    <row r="929" spans="3:5">
      <c r="C929" s="9"/>
      <c r="E929" s="9"/>
    </row>
    <row r="930" spans="3:5">
      <c r="C930" s="9"/>
      <c r="E930" s="9"/>
    </row>
    <row r="931" spans="3:5">
      <c r="C931" s="9"/>
      <c r="E931" s="9"/>
    </row>
    <row r="932" spans="3:5">
      <c r="C932" s="9"/>
      <c r="E932" s="9"/>
    </row>
    <row r="933" spans="3:5">
      <c r="C933" s="9"/>
      <c r="E933" s="9"/>
    </row>
    <row r="934" spans="3:5">
      <c r="C934" s="9"/>
      <c r="E934" s="9"/>
    </row>
    <row r="935" spans="3:5">
      <c r="C935" s="9"/>
      <c r="E935" s="9"/>
    </row>
    <row r="936" spans="3:5">
      <c r="C936" s="9"/>
      <c r="E936" s="9"/>
    </row>
    <row r="937" spans="3:5">
      <c r="C937" s="9"/>
      <c r="E937" s="9"/>
    </row>
    <row r="938" spans="3:5">
      <c r="C938" s="9"/>
      <c r="E938" s="9"/>
    </row>
    <row r="939" spans="3:5">
      <c r="C939" s="9"/>
      <c r="E939" s="9"/>
    </row>
    <row r="940" spans="3:5">
      <c r="C940" s="9"/>
      <c r="E940" s="9"/>
    </row>
    <row r="941" spans="3:5">
      <c r="C941" s="9"/>
      <c r="E941" s="9"/>
    </row>
    <row r="942" spans="3:5">
      <c r="C942" s="9"/>
      <c r="E942" s="9"/>
    </row>
    <row r="943" spans="3:5">
      <c r="C943" s="9"/>
      <c r="E943" s="9"/>
    </row>
    <row r="944" spans="3:5">
      <c r="C944" s="9"/>
      <c r="E944" s="9"/>
    </row>
    <row r="945" spans="3:5">
      <c r="C945" s="9"/>
      <c r="E945" s="9"/>
    </row>
    <row r="946" spans="3:5">
      <c r="C946" s="9"/>
      <c r="E946" s="9"/>
    </row>
    <row r="947" spans="3:5">
      <c r="C947" s="9"/>
      <c r="E947" s="9"/>
    </row>
    <row r="948" spans="3:5">
      <c r="C948" s="9"/>
      <c r="E948" s="9"/>
    </row>
    <row r="949" spans="3:5">
      <c r="C949" s="9"/>
      <c r="E949" s="9"/>
    </row>
    <row r="950" spans="3:5">
      <c r="C950" s="9"/>
      <c r="E950" s="9"/>
    </row>
    <row r="951" spans="3:5">
      <c r="C951" s="9"/>
      <c r="E951" s="9"/>
    </row>
    <row r="952" spans="3:5">
      <c r="C952" s="9"/>
      <c r="E952" s="9"/>
    </row>
    <row r="953" spans="3:5">
      <c r="C953" s="9"/>
      <c r="E953" s="9"/>
    </row>
    <row r="954" spans="3:5">
      <c r="C954" s="9"/>
      <c r="E954" s="9"/>
    </row>
    <row r="955" spans="3:5">
      <c r="C955" s="9"/>
      <c r="E955" s="9"/>
    </row>
    <row r="956" spans="3:5">
      <c r="C956" s="9"/>
      <c r="E956" s="9"/>
    </row>
    <row r="957" spans="3:5">
      <c r="C957" s="9"/>
      <c r="E957" s="9"/>
    </row>
    <row r="958" spans="3:5">
      <c r="C958" s="9"/>
      <c r="E958" s="9"/>
    </row>
    <row r="959" spans="3:5">
      <c r="C959" s="9"/>
      <c r="E959" s="9"/>
    </row>
    <row r="960" spans="3:5">
      <c r="C960" s="9"/>
      <c r="E960" s="9"/>
    </row>
    <row r="961" spans="3:5">
      <c r="C961" s="9"/>
      <c r="E961" s="9"/>
    </row>
    <row r="962" spans="3:5">
      <c r="C962" s="9"/>
      <c r="E962" s="9"/>
    </row>
    <row r="963" spans="3:5">
      <c r="C963" s="9"/>
      <c r="E963" s="9"/>
    </row>
    <row r="964" spans="3:5">
      <c r="C964" s="9"/>
      <c r="E964" s="9"/>
    </row>
    <row r="965" spans="3:5">
      <c r="C965" s="9"/>
      <c r="E965" s="9"/>
    </row>
    <row r="966" spans="3:5">
      <c r="C966" s="9"/>
      <c r="E966" s="9"/>
    </row>
    <row r="967" spans="3:5">
      <c r="C967" s="9"/>
      <c r="E967" s="9"/>
    </row>
    <row r="968" spans="3:5">
      <c r="C968" s="9"/>
      <c r="E968" s="9"/>
    </row>
    <row r="969" spans="3:5">
      <c r="C969" s="9"/>
      <c r="E969" s="9"/>
    </row>
    <row r="970" spans="3:5">
      <c r="C970" s="9"/>
      <c r="E970" s="9"/>
    </row>
    <row r="971" spans="3:5">
      <c r="C971" s="9"/>
      <c r="E971" s="9"/>
    </row>
    <row r="972" spans="3:5">
      <c r="C972" s="9"/>
      <c r="E972" s="9"/>
    </row>
    <row r="973" spans="3:5">
      <c r="C973" s="9"/>
      <c r="E973" s="9"/>
    </row>
    <row r="974" spans="3:5">
      <c r="C974" s="9"/>
      <c r="E974" s="9"/>
    </row>
    <row r="975" spans="3:5">
      <c r="C975" s="9"/>
      <c r="E975" s="9"/>
    </row>
    <row r="976" spans="3:5">
      <c r="C976" s="9"/>
      <c r="E976" s="9"/>
    </row>
    <row r="977" spans="3:5">
      <c r="C977" s="9"/>
      <c r="E977" s="9"/>
    </row>
    <row r="978" spans="3:5">
      <c r="C978" s="9"/>
      <c r="E978" s="9"/>
    </row>
    <row r="979" spans="3:5">
      <c r="C979" s="9"/>
      <c r="E979" s="9"/>
    </row>
    <row r="980" spans="3:5">
      <c r="C980" s="9"/>
      <c r="E980" s="9"/>
    </row>
    <row r="981" spans="3:5">
      <c r="C981" s="9"/>
      <c r="E981" s="9"/>
    </row>
    <row r="982" spans="3:5">
      <c r="C982" s="9"/>
      <c r="E982" s="9"/>
    </row>
    <row r="983" spans="3:5">
      <c r="C983" s="9"/>
      <c r="E983" s="9"/>
    </row>
    <row r="984" spans="3:5">
      <c r="C984" s="9"/>
      <c r="E984" s="9"/>
    </row>
    <row r="985" spans="3:5">
      <c r="C985" s="9"/>
      <c r="E985" s="9"/>
    </row>
    <row r="986" spans="3:5">
      <c r="C986" s="9"/>
      <c r="E986" s="9"/>
    </row>
    <row r="987" spans="3:5">
      <c r="C987" s="9"/>
      <c r="E987" s="9"/>
    </row>
    <row r="988" spans="3:5">
      <c r="C988" s="9"/>
      <c r="E988" s="9"/>
    </row>
    <row r="989" spans="3:5">
      <c r="C989" s="9"/>
      <c r="E989" s="9"/>
    </row>
    <row r="990" spans="3:5">
      <c r="C990" s="9"/>
      <c r="E990" s="9"/>
    </row>
    <row r="991" spans="3:5">
      <c r="C991" s="9"/>
      <c r="E991" s="9"/>
    </row>
    <row r="992" spans="3:5">
      <c r="C992" s="9"/>
      <c r="E992" s="9"/>
    </row>
    <row r="993" spans="3:5">
      <c r="C993" s="9"/>
      <c r="E993" s="9"/>
    </row>
    <row r="994" spans="3:5">
      <c r="C994" s="9"/>
      <c r="E994" s="9"/>
    </row>
    <row r="995" spans="3:5">
      <c r="C995" s="9"/>
      <c r="E995" s="9"/>
    </row>
    <row r="996" spans="3:5">
      <c r="C996" s="9"/>
      <c r="E996" s="9"/>
    </row>
    <row r="997" spans="3:5">
      <c r="C997" s="9"/>
      <c r="E997" s="9"/>
    </row>
    <row r="998" spans="3:5">
      <c r="C998" s="9"/>
      <c r="E998" s="9"/>
    </row>
    <row r="999" spans="3:5">
      <c r="C999" s="9"/>
      <c r="E999" s="9"/>
    </row>
    <row r="1000" spans="3:5">
      <c r="C1000" s="9"/>
      <c r="E1000" s="9"/>
    </row>
  </sheetData>
  <pageMargins left="0" right="0" top="0" bottom="0" header="0" footer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4DF4B5E522489390D1CCD350DE42" ma:contentTypeVersion="11" ma:contentTypeDescription="Create a new document." ma:contentTypeScope="" ma:versionID="229c7c4fc36643f29eb7d71daee606b3">
  <xsd:schema xmlns:xsd="http://www.w3.org/2001/XMLSchema" xmlns:xs="http://www.w3.org/2001/XMLSchema" xmlns:p="http://schemas.microsoft.com/office/2006/metadata/properties" xmlns:ns2="ccdc5b3e-d35a-4a28-947d-fe990b5512a9" xmlns:ns3="9c4fe3a6-9d01-4c8a-ada2-8c01ea0e4685" targetNamespace="http://schemas.microsoft.com/office/2006/metadata/properties" ma:root="true" ma:fieldsID="64bc37a02c0a14e476c2cbf145bcb94f" ns2:_="" ns3:_="">
    <xsd:import namespace="ccdc5b3e-d35a-4a28-947d-fe990b5512a9"/>
    <xsd:import namespace="9c4fe3a6-9d01-4c8a-ada2-8c01ea0e4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c5b3e-d35a-4a28-947d-fe990b55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56a1406-e350-46f1-9254-e028f1974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e3a6-9d01-4c8a-ada2-8c01ea0e46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51fd473-2155-41e9-b14f-14f999c356e5}" ma:internalName="TaxCatchAll" ma:showField="CatchAllData" ma:web="9c4fe3a6-9d01-4c8a-ada2-8c01ea0e4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4fe3a6-9d01-4c8a-ada2-8c01ea0e4685" xsi:nil="true"/>
    <lcf76f155ced4ddcb4097134ff3c332f xmlns="ccdc5b3e-d35a-4a28-947d-fe990b5512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2F9EAD-D5DB-48A4-A8C9-C77BA9BB420A}"/>
</file>

<file path=customXml/itemProps2.xml><?xml version="1.0" encoding="utf-8"?>
<ds:datastoreItem xmlns:ds="http://schemas.openxmlformats.org/officeDocument/2006/customXml" ds:itemID="{4A91E548-E168-4613-BD9E-32A65E76FFE4}"/>
</file>

<file path=customXml/itemProps3.xml><?xml version="1.0" encoding="utf-8"?>
<ds:datastoreItem xmlns:ds="http://schemas.openxmlformats.org/officeDocument/2006/customXml" ds:itemID="{77C5AA9F-4EAA-4669-A59C-5D3D8CD6C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2026-04-02T18:37:04Z</dcterms:created>
  <dcterms:modified xsi:type="dcterms:W3CDTF">2026-04-06T19:54:23Z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0x0101003B664DF4B5E522489390D1CCD350DE42</vt:lpwstr>
  </property>
  <property fmtid="{D5CDD505-2E9C-101B-9397-08002B2CF9AE}" pid="3" name="MediaServiceImageTags">
    <vt:lpwstr/>
  </property>
</Properties>
</file>